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C:\Users\jorki\Desktop\Various Docs\Gliding\Reitingai\2027\"/>
    </mc:Choice>
  </mc:AlternateContent>
  <xr:revisionPtr revIDLastSave="0" documentId="13_ncr:1_{1F26B426-C83E-4F87-BC61-59CCBF917815}" xr6:coauthVersionLast="47" xr6:coauthVersionMax="47" xr10:uidLastSave="{00000000-0000-0000-0000-000000000000}"/>
  <bookViews>
    <workbookView xWindow="28680" yWindow="-120" windowWidth="29040" windowHeight="15720" tabRatio="500" activeTab="1" xr2:uid="{00000000-000D-0000-FFFF-FFFF00000000}"/>
  </bookViews>
  <sheets>
    <sheet name="Instrukcijos" sheetId="1" r:id="rId1"/>
    <sheet name="Reitingai" sheetId="2" r:id="rId2"/>
    <sheet name="Rezultatai" sheetId="3" r:id="rId3"/>
    <sheet name="Parametrai" sheetId="4" r:id="rId4"/>
    <sheet name="Pilotai" sheetId="5" r:id="rId5"/>
    <sheet name="Pokytis" sheetId="6" r:id="rId6"/>
    <sheet name="Istorija (archyvas)" sheetId="7" r:id="rId7"/>
    <sheet name="Sąrašai" sheetId="8" state="hidden" r:id="rId8"/>
  </sheets>
  <definedNames>
    <definedName name="_xlnm._FilterDatabase" localSheetId="5" hidden="1">Pokytis!$A$5:$I$5</definedName>
    <definedName name="_xlnm._FilterDatabase" localSheetId="1" hidden="1">Reitingai!$A$5:$H$5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5" i="6" l="1"/>
  <c r="Q105" i="6" s="1"/>
  <c r="N104" i="6"/>
  <c r="M104" i="6"/>
  <c r="K104" i="6"/>
  <c r="Q104" i="6" s="1"/>
  <c r="Q103" i="6"/>
  <c r="N103" i="6"/>
  <c r="K103" i="6"/>
  <c r="M103" i="6" s="1"/>
  <c r="O102" i="6"/>
  <c r="K102" i="6"/>
  <c r="Q102" i="6" s="1"/>
  <c r="O101" i="6"/>
  <c r="N101" i="6"/>
  <c r="M101" i="6"/>
  <c r="K101" i="6"/>
  <c r="Q101" i="6" s="1"/>
  <c r="Q100" i="6"/>
  <c r="N100" i="6"/>
  <c r="K100" i="6"/>
  <c r="M100" i="6" s="1"/>
  <c r="O99" i="6"/>
  <c r="K99" i="6"/>
  <c r="Q99" i="6" s="1"/>
  <c r="O98" i="6"/>
  <c r="N98" i="6"/>
  <c r="M98" i="6"/>
  <c r="K98" i="6"/>
  <c r="Q98" i="6" s="1"/>
  <c r="Q97" i="6"/>
  <c r="N97" i="6"/>
  <c r="K97" i="6"/>
  <c r="K96" i="6"/>
  <c r="O95" i="6"/>
  <c r="N95" i="6"/>
  <c r="M95" i="6"/>
  <c r="K95" i="6"/>
  <c r="Q95" i="6" s="1"/>
  <c r="O94" i="6"/>
  <c r="K94" i="6"/>
  <c r="O93" i="6"/>
  <c r="K93" i="6"/>
  <c r="O92" i="6"/>
  <c r="K92" i="6"/>
  <c r="K91" i="6"/>
  <c r="O90" i="6"/>
  <c r="K90" i="6"/>
  <c r="O89" i="6"/>
  <c r="K89" i="6"/>
  <c r="K88" i="6"/>
  <c r="O87" i="6"/>
  <c r="K87" i="6"/>
  <c r="O86" i="6"/>
  <c r="K86" i="6"/>
  <c r="K85" i="6"/>
  <c r="O84" i="6"/>
  <c r="K84" i="6"/>
  <c r="M83" i="6"/>
  <c r="K83" i="6"/>
  <c r="Q82" i="6"/>
  <c r="O82" i="6"/>
  <c r="N82" i="6"/>
  <c r="K82" i="6"/>
  <c r="Q81" i="6"/>
  <c r="O81" i="6"/>
  <c r="K81" i="6"/>
  <c r="K80" i="6"/>
  <c r="O79" i="6"/>
  <c r="M79" i="6"/>
  <c r="K79" i="6"/>
  <c r="Q78" i="6"/>
  <c r="K78" i="6"/>
  <c r="O77" i="6"/>
  <c r="M77" i="6"/>
  <c r="K77" i="6"/>
  <c r="N76" i="6"/>
  <c r="M76" i="6"/>
  <c r="K76" i="6"/>
  <c r="O75" i="6"/>
  <c r="K75" i="6"/>
  <c r="K74" i="6"/>
  <c r="K73" i="6"/>
  <c r="K72" i="6"/>
  <c r="K71" i="6"/>
  <c r="K70" i="6"/>
  <c r="K69" i="6"/>
  <c r="K68" i="6"/>
  <c r="K67" i="6"/>
  <c r="K66" i="6"/>
  <c r="K65" i="6"/>
  <c r="N64" i="6"/>
  <c r="K64" i="6"/>
  <c r="K63" i="6"/>
  <c r="K62" i="6"/>
  <c r="N61" i="6"/>
  <c r="K61" i="6"/>
  <c r="K60" i="6"/>
  <c r="N59" i="6"/>
  <c r="K59" i="6"/>
  <c r="K58" i="6"/>
  <c r="K57" i="6"/>
  <c r="K56" i="6"/>
  <c r="K55" i="6"/>
  <c r="K54" i="6"/>
  <c r="K53" i="6"/>
  <c r="K52" i="6"/>
  <c r="K51" i="6"/>
  <c r="K50" i="6"/>
  <c r="K49" i="6"/>
  <c r="K48" i="6"/>
  <c r="K47" i="6"/>
  <c r="K46" i="6"/>
  <c r="K45" i="6"/>
  <c r="L44" i="6"/>
  <c r="K44" i="6"/>
  <c r="K43" i="6"/>
  <c r="L43" i="6" s="1"/>
  <c r="K42" i="6"/>
  <c r="K41" i="6"/>
  <c r="K40" i="6"/>
  <c r="N39" i="6"/>
  <c r="K39" i="6"/>
  <c r="N38" i="6"/>
  <c r="L38" i="6"/>
  <c r="K38" i="6"/>
  <c r="K37" i="6"/>
  <c r="K36" i="6"/>
  <c r="L35" i="6"/>
  <c r="K35" i="6"/>
  <c r="K34" i="6"/>
  <c r="K33" i="6"/>
  <c r="K32" i="6"/>
  <c r="K31" i="6"/>
  <c r="K30" i="6"/>
  <c r="K29" i="6"/>
  <c r="K28" i="6"/>
  <c r="K27" i="6"/>
  <c r="L26" i="6"/>
  <c r="K26" i="6"/>
  <c r="K25" i="6"/>
  <c r="K24" i="6"/>
  <c r="K23" i="6"/>
  <c r="K22" i="6"/>
  <c r="K21" i="6"/>
  <c r="K20" i="6"/>
  <c r="K19" i="6"/>
  <c r="K18" i="6"/>
  <c r="K17" i="6"/>
  <c r="K16" i="6"/>
  <c r="L15" i="6"/>
  <c r="K15" i="6"/>
  <c r="K14" i="6"/>
  <c r="K13" i="6"/>
  <c r="K12" i="6"/>
  <c r="N11" i="6"/>
  <c r="K11" i="6"/>
  <c r="K10" i="6"/>
  <c r="K9" i="6"/>
  <c r="K8" i="6"/>
  <c r="K7" i="6"/>
  <c r="K6" i="6"/>
  <c r="H3" i="6"/>
  <c r="G3" i="6"/>
  <c r="E13" i="4"/>
  <c r="C13" i="4"/>
  <c r="B13" i="4"/>
  <c r="C12" i="4"/>
  <c r="E12" i="4" s="1"/>
  <c r="B12" i="4"/>
  <c r="C11" i="4"/>
  <c r="E11" i="4" s="1"/>
  <c r="B11" i="4"/>
  <c r="E10" i="4"/>
  <c r="C10" i="4"/>
  <c r="B10" i="4"/>
  <c r="C9" i="4"/>
  <c r="E9" i="4" s="1"/>
  <c r="B9" i="4"/>
  <c r="J173" i="3" s="1"/>
  <c r="C8" i="4"/>
  <c r="E8" i="4" s="1"/>
  <c r="J151" i="3" s="1"/>
  <c r="B8" i="4"/>
  <c r="J158" i="3" s="1"/>
  <c r="C7" i="4"/>
  <c r="E7" i="4" s="1"/>
  <c r="J121" i="3" s="1"/>
  <c r="B7" i="4"/>
  <c r="C6" i="4"/>
  <c r="E6" i="4" s="1"/>
  <c r="J109" i="3" s="1"/>
  <c r="B6" i="4"/>
  <c r="J94" i="3" s="1"/>
  <c r="E5" i="4"/>
  <c r="C5" i="4"/>
  <c r="B5" i="4"/>
  <c r="C4" i="4"/>
  <c r="E4" i="4" s="1"/>
  <c r="J63" i="3" s="1"/>
  <c r="B4" i="4"/>
  <c r="J53" i="3" s="1"/>
  <c r="C3" i="4"/>
  <c r="E3" i="4" s="1"/>
  <c r="B3" i="4"/>
  <c r="C2" i="4"/>
  <c r="E2" i="4" s="1"/>
  <c r="J15" i="3" s="1"/>
  <c r="B2" i="4"/>
  <c r="J500" i="3"/>
  <c r="J499" i="3"/>
  <c r="J498" i="3"/>
  <c r="J497" i="3"/>
  <c r="J496" i="3"/>
  <c r="J495" i="3"/>
  <c r="J494" i="3"/>
  <c r="J493" i="3"/>
  <c r="J492" i="3"/>
  <c r="J491" i="3"/>
  <c r="J490" i="3"/>
  <c r="J489" i="3"/>
  <c r="J488" i="3"/>
  <c r="J487" i="3"/>
  <c r="J486" i="3"/>
  <c r="J485" i="3"/>
  <c r="J484" i="3"/>
  <c r="J483" i="3"/>
  <c r="J482" i="3"/>
  <c r="J481" i="3"/>
  <c r="J480" i="3"/>
  <c r="J479" i="3"/>
  <c r="J478" i="3"/>
  <c r="J477" i="3"/>
  <c r="J476" i="3"/>
  <c r="J475" i="3"/>
  <c r="J474" i="3"/>
  <c r="J473" i="3"/>
  <c r="J472" i="3"/>
  <c r="J471" i="3"/>
  <c r="J470" i="3"/>
  <c r="J469" i="3"/>
  <c r="J468" i="3"/>
  <c r="J467" i="3"/>
  <c r="J466" i="3"/>
  <c r="J465" i="3"/>
  <c r="J464" i="3"/>
  <c r="J463" i="3"/>
  <c r="J462" i="3"/>
  <c r="J461" i="3"/>
  <c r="J460" i="3"/>
  <c r="J459" i="3"/>
  <c r="J458" i="3"/>
  <c r="J457" i="3"/>
  <c r="J456" i="3"/>
  <c r="J455" i="3"/>
  <c r="J454" i="3"/>
  <c r="J453" i="3"/>
  <c r="J452" i="3"/>
  <c r="J451" i="3"/>
  <c r="J450" i="3"/>
  <c r="J449" i="3"/>
  <c r="J448" i="3"/>
  <c r="J447" i="3"/>
  <c r="J446" i="3"/>
  <c r="J445" i="3"/>
  <c r="J444" i="3"/>
  <c r="J443" i="3"/>
  <c r="J442" i="3"/>
  <c r="J441" i="3"/>
  <c r="J440" i="3"/>
  <c r="J439" i="3"/>
  <c r="J438" i="3"/>
  <c r="J437" i="3"/>
  <c r="J436" i="3"/>
  <c r="J435" i="3"/>
  <c r="J434" i="3"/>
  <c r="J433" i="3"/>
  <c r="J432" i="3"/>
  <c r="J431" i="3"/>
  <c r="J430" i="3"/>
  <c r="J429" i="3"/>
  <c r="J428" i="3"/>
  <c r="J427" i="3"/>
  <c r="J426" i="3"/>
  <c r="J425" i="3"/>
  <c r="J424" i="3"/>
  <c r="J423" i="3"/>
  <c r="J422" i="3"/>
  <c r="J421" i="3"/>
  <c r="J420" i="3"/>
  <c r="J419" i="3"/>
  <c r="J418" i="3"/>
  <c r="J417" i="3"/>
  <c r="J416" i="3"/>
  <c r="J415" i="3"/>
  <c r="J414" i="3"/>
  <c r="J413" i="3"/>
  <c r="J412" i="3"/>
  <c r="J411" i="3"/>
  <c r="J410" i="3"/>
  <c r="J409" i="3"/>
  <c r="J408" i="3"/>
  <c r="J407" i="3"/>
  <c r="J406" i="3"/>
  <c r="J405" i="3"/>
  <c r="J404" i="3"/>
  <c r="J403" i="3"/>
  <c r="J402" i="3"/>
  <c r="J401" i="3"/>
  <c r="J400" i="3"/>
  <c r="J399" i="3"/>
  <c r="J398" i="3"/>
  <c r="J397" i="3"/>
  <c r="J396" i="3"/>
  <c r="J395" i="3"/>
  <c r="J394" i="3"/>
  <c r="J393" i="3"/>
  <c r="J392" i="3"/>
  <c r="J391" i="3"/>
  <c r="J390" i="3"/>
  <c r="J389" i="3"/>
  <c r="J388" i="3"/>
  <c r="J387" i="3"/>
  <c r="J386" i="3"/>
  <c r="J385" i="3"/>
  <c r="J384" i="3"/>
  <c r="J383" i="3"/>
  <c r="J382" i="3"/>
  <c r="J381" i="3"/>
  <c r="J380" i="3"/>
  <c r="J379" i="3"/>
  <c r="J378" i="3"/>
  <c r="J377" i="3"/>
  <c r="J376" i="3"/>
  <c r="J375" i="3"/>
  <c r="J374" i="3"/>
  <c r="J373" i="3"/>
  <c r="J372" i="3"/>
  <c r="J371" i="3"/>
  <c r="J370" i="3"/>
  <c r="J369" i="3"/>
  <c r="J368" i="3"/>
  <c r="J367" i="3"/>
  <c r="J366" i="3"/>
  <c r="J365" i="3"/>
  <c r="J364" i="3"/>
  <c r="J363" i="3"/>
  <c r="J362" i="3"/>
  <c r="J361" i="3"/>
  <c r="J360" i="3"/>
  <c r="J359" i="3"/>
  <c r="J358" i="3"/>
  <c r="J357" i="3"/>
  <c r="J356" i="3"/>
  <c r="J355" i="3"/>
  <c r="J354" i="3"/>
  <c r="J353" i="3"/>
  <c r="J352" i="3"/>
  <c r="J351" i="3"/>
  <c r="J350" i="3"/>
  <c r="J349" i="3"/>
  <c r="J348" i="3"/>
  <c r="J347" i="3"/>
  <c r="J346" i="3"/>
  <c r="J345" i="3"/>
  <c r="J344" i="3"/>
  <c r="J343" i="3"/>
  <c r="J342" i="3"/>
  <c r="J341" i="3"/>
  <c r="J340" i="3"/>
  <c r="J339" i="3"/>
  <c r="J338" i="3"/>
  <c r="J337" i="3"/>
  <c r="J336" i="3"/>
  <c r="J335" i="3"/>
  <c r="J334" i="3"/>
  <c r="J333" i="3"/>
  <c r="J332" i="3"/>
  <c r="J331" i="3"/>
  <c r="J330" i="3"/>
  <c r="J329" i="3"/>
  <c r="J328" i="3"/>
  <c r="J327" i="3"/>
  <c r="J326" i="3"/>
  <c r="J325" i="3"/>
  <c r="J324" i="3"/>
  <c r="J323" i="3"/>
  <c r="J322" i="3"/>
  <c r="J321" i="3"/>
  <c r="J320" i="3"/>
  <c r="J319" i="3"/>
  <c r="J318" i="3"/>
  <c r="J317" i="3"/>
  <c r="J316" i="3"/>
  <c r="J315" i="3"/>
  <c r="J314" i="3"/>
  <c r="J313" i="3"/>
  <c r="J312" i="3"/>
  <c r="J311" i="3"/>
  <c r="J310" i="3"/>
  <c r="J309" i="3"/>
  <c r="J308" i="3"/>
  <c r="J307" i="3"/>
  <c r="J306" i="3"/>
  <c r="J305" i="3"/>
  <c r="J304" i="3"/>
  <c r="J303" i="3"/>
  <c r="J302" i="3"/>
  <c r="J301" i="3"/>
  <c r="J300" i="3"/>
  <c r="J299" i="3"/>
  <c r="J298" i="3"/>
  <c r="J297" i="3"/>
  <c r="J296" i="3"/>
  <c r="J295" i="3"/>
  <c r="J294" i="3"/>
  <c r="J293" i="3"/>
  <c r="J292" i="3"/>
  <c r="J291" i="3"/>
  <c r="J290" i="3"/>
  <c r="J289" i="3"/>
  <c r="J288" i="3"/>
  <c r="J287" i="3"/>
  <c r="J286" i="3"/>
  <c r="J285" i="3"/>
  <c r="J284" i="3"/>
  <c r="J283" i="3"/>
  <c r="J282" i="3"/>
  <c r="J281" i="3"/>
  <c r="J280" i="3"/>
  <c r="J279" i="3"/>
  <c r="J278" i="3"/>
  <c r="J277" i="3"/>
  <c r="J276" i="3"/>
  <c r="J275" i="3"/>
  <c r="J274" i="3"/>
  <c r="J273" i="3"/>
  <c r="J272" i="3"/>
  <c r="J271" i="3"/>
  <c r="J270" i="3"/>
  <c r="J269" i="3"/>
  <c r="J268" i="3"/>
  <c r="J267" i="3"/>
  <c r="J266" i="3"/>
  <c r="J265" i="3"/>
  <c r="J264" i="3"/>
  <c r="J263" i="3"/>
  <c r="J262" i="3"/>
  <c r="J261" i="3"/>
  <c r="J260" i="3"/>
  <c r="J259" i="3"/>
  <c r="J258" i="3"/>
  <c r="J257" i="3"/>
  <c r="J256" i="3"/>
  <c r="J255" i="3"/>
  <c r="J254" i="3"/>
  <c r="J253" i="3"/>
  <c r="J252" i="3"/>
  <c r="J251" i="3"/>
  <c r="J250" i="3"/>
  <c r="J249" i="3"/>
  <c r="J248" i="3"/>
  <c r="J247" i="3"/>
  <c r="J246" i="3"/>
  <c r="J245" i="3"/>
  <c r="J244" i="3"/>
  <c r="J243" i="3"/>
  <c r="J242" i="3"/>
  <c r="J241" i="3"/>
  <c r="J240" i="3"/>
  <c r="J239" i="3"/>
  <c r="J238" i="3"/>
  <c r="J237" i="3"/>
  <c r="J236" i="3"/>
  <c r="J235" i="3"/>
  <c r="J234" i="3"/>
  <c r="J233" i="3"/>
  <c r="J232" i="3"/>
  <c r="J231" i="3"/>
  <c r="J230" i="3"/>
  <c r="J229" i="3"/>
  <c r="J228" i="3"/>
  <c r="J227" i="3"/>
  <c r="J226" i="3"/>
  <c r="J225" i="3"/>
  <c r="J224" i="3"/>
  <c r="J223" i="3"/>
  <c r="J222" i="3"/>
  <c r="J221" i="3"/>
  <c r="J220" i="3"/>
  <c r="J219" i="3"/>
  <c r="J218" i="3"/>
  <c r="J217" i="3"/>
  <c r="J216" i="3"/>
  <c r="J215" i="3"/>
  <c r="J214" i="3"/>
  <c r="J213" i="3"/>
  <c r="J212" i="3"/>
  <c r="J211" i="3"/>
  <c r="J210" i="3"/>
  <c r="J205" i="3"/>
  <c r="J204" i="3"/>
  <c r="J203" i="3"/>
  <c r="J202" i="3"/>
  <c r="J201" i="3"/>
  <c r="J200" i="3"/>
  <c r="J199" i="3"/>
  <c r="J196" i="3"/>
  <c r="J191" i="3"/>
  <c r="J190" i="3"/>
  <c r="J188" i="3"/>
  <c r="J181" i="3"/>
  <c r="J180" i="3"/>
  <c r="J177" i="3"/>
  <c r="J176" i="3"/>
  <c r="J175" i="3"/>
  <c r="J174" i="3"/>
  <c r="J167" i="3"/>
  <c r="J166" i="3"/>
  <c r="J162" i="3"/>
  <c r="J160" i="3"/>
  <c r="J159" i="3"/>
  <c r="J157" i="3"/>
  <c r="J156" i="3"/>
  <c r="J155" i="3"/>
  <c r="J154" i="3"/>
  <c r="J153" i="3"/>
  <c r="J152" i="3"/>
  <c r="J148" i="3"/>
  <c r="J147" i="3"/>
  <c r="J145" i="3"/>
  <c r="J144" i="3"/>
  <c r="J143" i="3"/>
  <c r="J142" i="3"/>
  <c r="J141" i="3"/>
  <c r="J140" i="3"/>
  <c r="J139" i="3"/>
  <c r="J138" i="3"/>
  <c r="J133" i="3"/>
  <c r="J132" i="3"/>
  <c r="J131" i="3"/>
  <c r="J130" i="3"/>
  <c r="J129" i="3"/>
  <c r="J128" i="3"/>
  <c r="J127" i="3"/>
  <c r="J126" i="3"/>
  <c r="J124" i="3"/>
  <c r="J123" i="3"/>
  <c r="J119" i="3"/>
  <c r="J118" i="3"/>
  <c r="J117" i="3"/>
  <c r="J116" i="3"/>
  <c r="J115" i="3"/>
  <c r="J114" i="3"/>
  <c r="J104" i="3"/>
  <c r="J102" i="3"/>
  <c r="J95" i="3"/>
  <c r="J87" i="3"/>
  <c r="J81" i="3"/>
  <c r="J80" i="3"/>
  <c r="J75" i="3"/>
  <c r="J72" i="3"/>
  <c r="J67" i="3"/>
  <c r="J66" i="3"/>
  <c r="J61" i="3"/>
  <c r="J60" i="3"/>
  <c r="J59" i="3"/>
  <c r="J58" i="3"/>
  <c r="J57" i="3"/>
  <c r="J56" i="3"/>
  <c r="J55" i="3"/>
  <c r="J54" i="3"/>
  <c r="J52" i="3"/>
  <c r="J51" i="3"/>
  <c r="J49" i="3"/>
  <c r="J47" i="3"/>
  <c r="J46" i="3"/>
  <c r="J45" i="3"/>
  <c r="J44" i="3"/>
  <c r="J43" i="3"/>
  <c r="J37" i="3"/>
  <c r="J36" i="3"/>
  <c r="J32" i="3"/>
  <c r="J30" i="3"/>
  <c r="J23" i="3"/>
  <c r="J22" i="3"/>
  <c r="J18" i="3"/>
  <c r="J9" i="3"/>
  <c r="J8" i="3"/>
  <c r="J3" i="3"/>
  <c r="K105" i="2"/>
  <c r="R104" i="2"/>
  <c r="Q104" i="2"/>
  <c r="P104" i="2"/>
  <c r="O104" i="2"/>
  <c r="M104" i="2"/>
  <c r="L104" i="2"/>
  <c r="K104" i="2"/>
  <c r="N104" i="2" s="1"/>
  <c r="P103" i="2"/>
  <c r="N103" i="2"/>
  <c r="K103" i="2"/>
  <c r="Q103" i="2" s="1"/>
  <c r="Q102" i="2"/>
  <c r="P102" i="2"/>
  <c r="K102" i="2"/>
  <c r="R101" i="2"/>
  <c r="Q101" i="2"/>
  <c r="P101" i="2"/>
  <c r="O101" i="2"/>
  <c r="M101" i="2"/>
  <c r="L101" i="2"/>
  <c r="K101" i="2"/>
  <c r="N101" i="2" s="1"/>
  <c r="P100" i="2"/>
  <c r="N100" i="2"/>
  <c r="M100" i="2"/>
  <c r="K100" i="2"/>
  <c r="Q99" i="2"/>
  <c r="P99" i="2"/>
  <c r="O99" i="2"/>
  <c r="L99" i="2"/>
  <c r="K99" i="2"/>
  <c r="R99" i="2" s="1"/>
  <c r="R98" i="2"/>
  <c r="Q98" i="2"/>
  <c r="P98" i="2"/>
  <c r="O98" i="2"/>
  <c r="M98" i="2"/>
  <c r="L98" i="2"/>
  <c r="K98" i="2"/>
  <c r="N98" i="2" s="1"/>
  <c r="Q97" i="2"/>
  <c r="P97" i="2"/>
  <c r="N97" i="2"/>
  <c r="M97" i="2"/>
  <c r="L97" i="2"/>
  <c r="K97" i="2"/>
  <c r="R96" i="2"/>
  <c r="Q96" i="2"/>
  <c r="P96" i="2"/>
  <c r="O96" i="2"/>
  <c r="N96" i="2"/>
  <c r="K96" i="2"/>
  <c r="M96" i="2" s="1"/>
  <c r="R95" i="2"/>
  <c r="Q95" i="2"/>
  <c r="L95" i="2"/>
  <c r="K95" i="2"/>
  <c r="O94" i="2"/>
  <c r="N94" i="2"/>
  <c r="M94" i="2"/>
  <c r="K94" i="2"/>
  <c r="R94" i="2" s="1"/>
  <c r="P93" i="2"/>
  <c r="M93" i="2"/>
  <c r="K93" i="2"/>
  <c r="R92" i="2"/>
  <c r="Q92" i="2"/>
  <c r="P92" i="2"/>
  <c r="O92" i="2"/>
  <c r="M92" i="2"/>
  <c r="L92" i="2"/>
  <c r="K92" i="2"/>
  <c r="N92" i="2" s="1"/>
  <c r="K91" i="2"/>
  <c r="R90" i="2"/>
  <c r="N90" i="2"/>
  <c r="M90" i="2"/>
  <c r="L90" i="2"/>
  <c r="K90" i="2"/>
  <c r="Q90" i="2" s="1"/>
  <c r="K89" i="2"/>
  <c r="Q88" i="2"/>
  <c r="K88" i="2"/>
  <c r="R87" i="2"/>
  <c r="Q87" i="2"/>
  <c r="P87" i="2"/>
  <c r="O87" i="2"/>
  <c r="N87" i="2"/>
  <c r="K87" i="2"/>
  <c r="M87" i="2" s="1"/>
  <c r="K86" i="2"/>
  <c r="O85" i="2"/>
  <c r="N85" i="2"/>
  <c r="M85" i="2"/>
  <c r="K85" i="2"/>
  <c r="P84" i="2"/>
  <c r="K84" i="2"/>
  <c r="R83" i="2"/>
  <c r="Q83" i="2"/>
  <c r="P83" i="2"/>
  <c r="O83" i="2"/>
  <c r="M83" i="2"/>
  <c r="L83" i="2"/>
  <c r="K83" i="2"/>
  <c r="N83" i="2" s="1"/>
  <c r="P82" i="2"/>
  <c r="O82" i="2"/>
  <c r="K82" i="2"/>
  <c r="M81" i="2"/>
  <c r="L81" i="2"/>
  <c r="K81" i="2"/>
  <c r="P80" i="2"/>
  <c r="L80" i="2"/>
  <c r="K80" i="2"/>
  <c r="K79" i="2"/>
  <c r="R78" i="2"/>
  <c r="Q78" i="2"/>
  <c r="P78" i="2"/>
  <c r="O78" i="2"/>
  <c r="N78" i="2"/>
  <c r="K78" i="2"/>
  <c r="M78" i="2" s="1"/>
  <c r="R77" i="2"/>
  <c r="Q77" i="2"/>
  <c r="L77" i="2"/>
  <c r="K77" i="2"/>
  <c r="N76" i="2"/>
  <c r="M76" i="2"/>
  <c r="L76" i="2"/>
  <c r="K76" i="2"/>
  <c r="R75" i="2"/>
  <c r="Q75" i="2"/>
  <c r="P75" i="2"/>
  <c r="N75" i="2"/>
  <c r="M75" i="2"/>
  <c r="L75" i="2"/>
  <c r="K75" i="2"/>
  <c r="O75" i="2" s="1"/>
  <c r="O74" i="2"/>
  <c r="M74" i="2"/>
  <c r="L74" i="2"/>
  <c r="K74" i="2"/>
  <c r="N74" i="2" s="1"/>
  <c r="K73" i="2"/>
  <c r="O72" i="2"/>
  <c r="N72" i="2"/>
  <c r="M72" i="2"/>
  <c r="L72" i="2"/>
  <c r="K72" i="2"/>
  <c r="K71" i="2"/>
  <c r="K70" i="2"/>
  <c r="M69" i="2"/>
  <c r="L69" i="2"/>
  <c r="K69" i="2"/>
  <c r="O68" i="2"/>
  <c r="N68" i="2"/>
  <c r="L68" i="2"/>
  <c r="K68" i="2"/>
  <c r="L67" i="2"/>
  <c r="K67" i="2"/>
  <c r="K66" i="2"/>
  <c r="O65" i="2"/>
  <c r="N65" i="2"/>
  <c r="M65" i="2"/>
  <c r="P65" i="2" s="1"/>
  <c r="L65" i="2"/>
  <c r="K65" i="2"/>
  <c r="O64" i="2"/>
  <c r="K64" i="2"/>
  <c r="K63" i="2"/>
  <c r="K62" i="2"/>
  <c r="O61" i="2"/>
  <c r="K61" i="2"/>
  <c r="O60" i="2"/>
  <c r="N60" i="2"/>
  <c r="M60" i="2"/>
  <c r="K60" i="2"/>
  <c r="M59" i="2"/>
  <c r="L59" i="2"/>
  <c r="K59" i="2"/>
  <c r="O59" i="2" s="1"/>
  <c r="O58" i="2"/>
  <c r="L58" i="2"/>
  <c r="K58" i="2"/>
  <c r="O57" i="2"/>
  <c r="M57" i="2"/>
  <c r="L57" i="2"/>
  <c r="K57" i="2"/>
  <c r="O56" i="2"/>
  <c r="N56" i="2"/>
  <c r="M56" i="2"/>
  <c r="L56" i="2"/>
  <c r="K56" i="2"/>
  <c r="K55" i="2"/>
  <c r="N54" i="2"/>
  <c r="M54" i="2"/>
  <c r="K54" i="2"/>
  <c r="N53" i="2"/>
  <c r="M53" i="2"/>
  <c r="L53" i="2"/>
  <c r="K53" i="2"/>
  <c r="K52" i="2"/>
  <c r="O51" i="2"/>
  <c r="N51" i="2"/>
  <c r="M51" i="2"/>
  <c r="P51" i="2" s="1"/>
  <c r="K51" i="2"/>
  <c r="M50" i="2"/>
  <c r="L50" i="2"/>
  <c r="K50" i="2"/>
  <c r="O50" i="2" s="1"/>
  <c r="K49" i="2"/>
  <c r="K48" i="2"/>
  <c r="O47" i="2"/>
  <c r="N47" i="2"/>
  <c r="M47" i="2"/>
  <c r="P47" i="2" s="1"/>
  <c r="L47" i="2"/>
  <c r="K47" i="2"/>
  <c r="O46" i="2"/>
  <c r="K46" i="2"/>
  <c r="K45" i="2"/>
  <c r="K44" i="2"/>
  <c r="N44" i="2" s="1"/>
  <c r="O43" i="2"/>
  <c r="K43" i="2"/>
  <c r="O42" i="2"/>
  <c r="N42" i="2"/>
  <c r="M42" i="2"/>
  <c r="K42" i="2"/>
  <c r="M41" i="2"/>
  <c r="L41" i="2"/>
  <c r="K41" i="2"/>
  <c r="O41" i="2" s="1"/>
  <c r="O40" i="2"/>
  <c r="L40" i="2"/>
  <c r="K40" i="2"/>
  <c r="O39" i="2"/>
  <c r="M39" i="2"/>
  <c r="L39" i="2"/>
  <c r="K39" i="2"/>
  <c r="O38" i="2"/>
  <c r="N38" i="2"/>
  <c r="M38" i="2"/>
  <c r="L38" i="2"/>
  <c r="K38" i="2"/>
  <c r="K37" i="2"/>
  <c r="N36" i="2"/>
  <c r="M36" i="2"/>
  <c r="K36" i="2"/>
  <c r="M35" i="2"/>
  <c r="L35" i="2"/>
  <c r="K35" i="2"/>
  <c r="K34" i="2"/>
  <c r="O33" i="2"/>
  <c r="N33" i="2"/>
  <c r="M33" i="2"/>
  <c r="K33" i="2"/>
  <c r="M32" i="2"/>
  <c r="L32" i="2"/>
  <c r="K32" i="2"/>
  <c r="O32" i="2" s="1"/>
  <c r="L31" i="2"/>
  <c r="K31" i="2"/>
  <c r="L30" i="2"/>
  <c r="K30" i="2"/>
  <c r="O29" i="2"/>
  <c r="N29" i="2"/>
  <c r="M29" i="2"/>
  <c r="L29" i="2"/>
  <c r="K29" i="2"/>
  <c r="K28" i="2"/>
  <c r="L27" i="2"/>
  <c r="K27" i="2"/>
  <c r="K26" i="2"/>
  <c r="K25" i="2"/>
  <c r="O24" i="2"/>
  <c r="M24" i="2"/>
  <c r="K24" i="2"/>
  <c r="N23" i="2"/>
  <c r="M23" i="2"/>
  <c r="L23" i="2"/>
  <c r="K23" i="2"/>
  <c r="O23" i="2" s="1"/>
  <c r="O22" i="2"/>
  <c r="K22" i="2"/>
  <c r="O21" i="2"/>
  <c r="M21" i="2"/>
  <c r="L21" i="2"/>
  <c r="K21" i="2"/>
  <c r="O20" i="2"/>
  <c r="M20" i="2"/>
  <c r="L20" i="2"/>
  <c r="K20" i="2"/>
  <c r="K19" i="2"/>
  <c r="K18" i="2"/>
  <c r="K17" i="2"/>
  <c r="K16" i="2"/>
  <c r="O15" i="2"/>
  <c r="L15" i="2"/>
  <c r="K15" i="2"/>
  <c r="K14" i="2"/>
  <c r="N14" i="2" s="1"/>
  <c r="K13" i="2"/>
  <c r="K12" i="2"/>
  <c r="O11" i="2"/>
  <c r="N11" i="2"/>
  <c r="M11" i="2"/>
  <c r="L11" i="2"/>
  <c r="K11" i="2"/>
  <c r="O10" i="2"/>
  <c r="K10" i="2"/>
  <c r="K9" i="2"/>
  <c r="K8" i="2"/>
  <c r="O7" i="2"/>
  <c r="M7" i="2"/>
  <c r="K7" i="2"/>
  <c r="O6" i="2"/>
  <c r="M6" i="2"/>
  <c r="L6" i="2"/>
  <c r="K6" i="2"/>
  <c r="F3" i="2"/>
  <c r="E3" i="2"/>
  <c r="D3" i="2"/>
  <c r="P23" i="2" l="1"/>
  <c r="P11" i="2"/>
  <c r="P33" i="2"/>
  <c r="P29" i="2"/>
  <c r="P38" i="2"/>
  <c r="P56" i="2"/>
  <c r="P74" i="2"/>
  <c r="P72" i="2"/>
  <c r="N8" i="2"/>
  <c r="N16" i="2"/>
  <c r="M10" i="2"/>
  <c r="L22" i="2"/>
  <c r="L7" i="2"/>
  <c r="M22" i="2"/>
  <c r="R91" i="2"/>
  <c r="N91" i="2"/>
  <c r="M91" i="2"/>
  <c r="L91" i="2"/>
  <c r="Q91" i="2"/>
  <c r="P91" i="2"/>
  <c r="O91" i="2"/>
  <c r="O17" i="2"/>
  <c r="N17" i="2"/>
  <c r="O12" i="2"/>
  <c r="L17" i="2"/>
  <c r="P60" i="2"/>
  <c r="L12" i="2"/>
  <c r="N25" i="2"/>
  <c r="O25" i="2"/>
  <c r="L25" i="2"/>
  <c r="P42" i="2"/>
  <c r="O73" i="2"/>
  <c r="N73" i="2"/>
  <c r="M73" i="2"/>
  <c r="L73" i="2"/>
  <c r="L16" i="2"/>
  <c r="N89" i="2"/>
  <c r="R89" i="2"/>
  <c r="M89" i="2"/>
  <c r="L89" i="2"/>
  <c r="O89" i="2"/>
  <c r="Q89" i="2"/>
  <c r="P89" i="2"/>
  <c r="N34" i="2"/>
  <c r="O34" i="2"/>
  <c r="M34" i="2"/>
  <c r="N26" i="2"/>
  <c r="O26" i="2"/>
  <c r="M26" i="2"/>
  <c r="L26" i="2"/>
  <c r="L34" i="2"/>
  <c r="N37" i="2"/>
  <c r="M37" i="2"/>
  <c r="L37" i="2"/>
  <c r="O37" i="2"/>
  <c r="N55" i="2"/>
  <c r="M55" i="2"/>
  <c r="L55" i="2"/>
  <c r="O55" i="2"/>
  <c r="R79" i="2"/>
  <c r="N79" i="2"/>
  <c r="M79" i="2"/>
  <c r="Q79" i="2"/>
  <c r="P79" i="2"/>
  <c r="O79" i="2"/>
  <c r="L79" i="2"/>
  <c r="L8" i="2"/>
  <c r="N7" i="2"/>
  <c r="P7" i="2" s="1"/>
  <c r="N9" i="2"/>
  <c r="O14" i="2"/>
  <c r="N40" i="2"/>
  <c r="M40" i="2"/>
  <c r="M43" i="2"/>
  <c r="N58" i="2"/>
  <c r="M58" i="2"/>
  <c r="M61" i="2"/>
  <c r="N62" i="2"/>
  <c r="L27" i="6"/>
  <c r="N27" i="6"/>
  <c r="L37" i="6"/>
  <c r="N37" i="6"/>
  <c r="O35" i="2"/>
  <c r="O36" i="2"/>
  <c r="P36" i="2" s="1"/>
  <c r="L36" i="2"/>
  <c r="N39" i="2"/>
  <c r="P39" i="2" s="1"/>
  <c r="O53" i="2"/>
  <c r="P53" i="2" s="1"/>
  <c r="O54" i="2"/>
  <c r="P54" i="2" s="1"/>
  <c r="L54" i="2"/>
  <c r="N57" i="2"/>
  <c r="P57" i="2" s="1"/>
  <c r="N52" i="2"/>
  <c r="O84" i="2"/>
  <c r="L84" i="2"/>
  <c r="R84" i="2"/>
  <c r="N84" i="2"/>
  <c r="N7" i="6"/>
  <c r="L22" i="6"/>
  <c r="L52" i="2"/>
  <c r="M84" i="2"/>
  <c r="L7" i="6"/>
  <c r="O27" i="2"/>
  <c r="N31" i="2"/>
  <c r="M31" i="2"/>
  <c r="N35" i="2"/>
  <c r="N49" i="2"/>
  <c r="M49" i="2"/>
  <c r="M52" i="2"/>
  <c r="N66" i="2"/>
  <c r="M71" i="2"/>
  <c r="L71" i="2"/>
  <c r="N86" i="2"/>
  <c r="P86" i="2"/>
  <c r="O86" i="2"/>
  <c r="M86" i="2"/>
  <c r="Q86" i="2"/>
  <c r="N32" i="6"/>
  <c r="L32" i="6"/>
  <c r="L48" i="2"/>
  <c r="L49" i="2"/>
  <c r="O52" i="2"/>
  <c r="L66" i="2"/>
  <c r="N71" i="2"/>
  <c r="Q84" i="2"/>
  <c r="L86" i="2"/>
  <c r="R88" i="2"/>
  <c r="P88" i="2"/>
  <c r="O88" i="2"/>
  <c r="N88" i="2"/>
  <c r="M88" i="2"/>
  <c r="N13" i="2"/>
  <c r="L13" i="2"/>
  <c r="M30" i="2"/>
  <c r="O31" i="2"/>
  <c r="N46" i="2"/>
  <c r="M46" i="2"/>
  <c r="L46" i="2"/>
  <c r="M48" i="2"/>
  <c r="O49" i="2"/>
  <c r="N64" i="2"/>
  <c r="M64" i="2"/>
  <c r="L64" i="2"/>
  <c r="M66" i="2"/>
  <c r="O71" i="2"/>
  <c r="N80" i="2"/>
  <c r="R80" i="2"/>
  <c r="O80" i="2"/>
  <c r="M80" i="2"/>
  <c r="R86" i="2"/>
  <c r="L88" i="2"/>
  <c r="N28" i="2"/>
  <c r="M28" i="2"/>
  <c r="L28" i="2"/>
  <c r="L9" i="2"/>
  <c r="L18" i="2"/>
  <c r="M27" i="2"/>
  <c r="O13" i="2"/>
  <c r="L14" i="2"/>
  <c r="M18" i="2"/>
  <c r="N19" i="2"/>
  <c r="M19" i="2"/>
  <c r="N27" i="2"/>
  <c r="N48" i="2"/>
  <c r="P48" i="2" s="1"/>
  <c r="O62" i="2"/>
  <c r="O63" i="2"/>
  <c r="L63" i="2"/>
  <c r="O66" i="2"/>
  <c r="N30" i="2"/>
  <c r="O44" i="2"/>
  <c r="O45" i="2"/>
  <c r="L45" i="2"/>
  <c r="M14" i="2"/>
  <c r="P14" i="2" s="1"/>
  <c r="L19" i="2"/>
  <c r="O48" i="2"/>
  <c r="N61" i="2"/>
  <c r="P61" i="2" s="1"/>
  <c r="L62" i="2"/>
  <c r="M63" i="2"/>
  <c r="N70" i="2"/>
  <c r="M70" i="2"/>
  <c r="O70" i="2"/>
  <c r="L70" i="2"/>
  <c r="R105" i="2"/>
  <c r="P105" i="2"/>
  <c r="O105" i="2"/>
  <c r="N105" i="2"/>
  <c r="M105" i="2"/>
  <c r="Q105" i="2"/>
  <c r="L105" i="2"/>
  <c r="O28" i="2"/>
  <c r="O30" i="2"/>
  <c r="N43" i="2"/>
  <c r="L44" i="2"/>
  <c r="M45" i="2"/>
  <c r="O9" i="2"/>
  <c r="L10" i="2"/>
  <c r="O19" i="2"/>
  <c r="L43" i="2"/>
  <c r="M44" i="2"/>
  <c r="N45" i="2"/>
  <c r="L61" i="2"/>
  <c r="M62" i="2"/>
  <c r="N63" i="2"/>
  <c r="Q80" i="2"/>
  <c r="O67" i="2"/>
  <c r="M68" i="2"/>
  <c r="P68" i="2" s="1"/>
  <c r="Q81" i="2"/>
  <c r="P81" i="2"/>
  <c r="O81" i="2"/>
  <c r="R82" i="2"/>
  <c r="N82" i="2"/>
  <c r="M82" i="2"/>
  <c r="L82" i="2"/>
  <c r="O93" i="2"/>
  <c r="N93" i="2"/>
  <c r="L93" i="2"/>
  <c r="J179" i="3"/>
  <c r="M17" i="2" s="1"/>
  <c r="J165" i="3"/>
  <c r="J178" i="3"/>
  <c r="M15" i="2" s="1"/>
  <c r="J164" i="3"/>
  <c r="N22" i="6" s="1"/>
  <c r="J163" i="3"/>
  <c r="M9" i="2" s="1"/>
  <c r="J172" i="3"/>
  <c r="J171" i="3"/>
  <c r="M8" i="2" s="1"/>
  <c r="J169" i="3"/>
  <c r="M25" i="2" s="1"/>
  <c r="P25" i="2" s="1"/>
  <c r="J183" i="3"/>
  <c r="M12" i="2" s="1"/>
  <c r="J168" i="3"/>
  <c r="N16" i="6" s="1"/>
  <c r="L13" i="6"/>
  <c r="N32" i="2"/>
  <c r="P32" i="2" s="1"/>
  <c r="N41" i="2"/>
  <c r="P41" i="2" s="1"/>
  <c r="N50" i="2"/>
  <c r="P50" i="2" s="1"/>
  <c r="N59" i="2"/>
  <c r="P59" i="2" s="1"/>
  <c r="N69" i="2"/>
  <c r="N81" i="2"/>
  <c r="Q82" i="2"/>
  <c r="Q93" i="2"/>
  <c r="O102" i="2"/>
  <c r="N102" i="2"/>
  <c r="M102" i="2"/>
  <c r="R102" i="2"/>
  <c r="J90" i="3"/>
  <c r="J193" i="3"/>
  <c r="N21" i="2" s="1"/>
  <c r="P21" i="2" s="1"/>
  <c r="J192" i="3"/>
  <c r="N6" i="2" s="1"/>
  <c r="P6" i="2" s="1"/>
  <c r="J189" i="3"/>
  <c r="N10" i="2" s="1"/>
  <c r="J187" i="3"/>
  <c r="N20" i="2" s="1"/>
  <c r="P20" i="2" s="1"/>
  <c r="J186" i="3"/>
  <c r="N18" i="2" s="1"/>
  <c r="J184" i="3"/>
  <c r="J198" i="3"/>
  <c r="N12" i="6" s="1"/>
  <c r="L28" i="6"/>
  <c r="L24" i="2"/>
  <c r="L33" i="2"/>
  <c r="L42" i="2"/>
  <c r="L51" i="2"/>
  <c r="L60" i="2"/>
  <c r="O69" i="2"/>
  <c r="R76" i="2"/>
  <c r="Q76" i="2"/>
  <c r="P76" i="2"/>
  <c r="N77" i="2"/>
  <c r="P77" i="2"/>
  <c r="O77" i="2"/>
  <c r="M77" i="2"/>
  <c r="R81" i="2"/>
  <c r="R93" i="2"/>
  <c r="N95" i="2"/>
  <c r="P95" i="2"/>
  <c r="O95" i="2"/>
  <c r="M95" i="2"/>
  <c r="L102" i="2"/>
  <c r="J79" i="3"/>
  <c r="J64" i="3"/>
  <c r="J78" i="3"/>
  <c r="J76" i="3"/>
  <c r="J88" i="3"/>
  <c r="J73" i="3"/>
  <c r="J85" i="3"/>
  <c r="J71" i="3"/>
  <c r="J84" i="3"/>
  <c r="J70" i="3"/>
  <c r="J83" i="3"/>
  <c r="J69" i="3"/>
  <c r="J82" i="3"/>
  <c r="J68" i="3"/>
  <c r="L10" i="6"/>
  <c r="J101" i="3"/>
  <c r="J110" i="3"/>
  <c r="J98" i="3"/>
  <c r="J107" i="3"/>
  <c r="J93" i="3"/>
  <c r="J106" i="3"/>
  <c r="J92" i="3"/>
  <c r="J105" i="3"/>
  <c r="J91" i="3"/>
  <c r="J103" i="3"/>
  <c r="J100" i="3"/>
  <c r="J99" i="3"/>
  <c r="J112" i="3"/>
  <c r="J97" i="3"/>
  <c r="J111" i="3"/>
  <c r="J96" i="3"/>
  <c r="L34" i="6"/>
  <c r="O76" i="2"/>
  <c r="R85" i="2"/>
  <c r="Q85" i="2"/>
  <c r="P85" i="2"/>
  <c r="L85" i="2"/>
  <c r="J108" i="3"/>
  <c r="J195" i="3"/>
  <c r="N15" i="2" s="1"/>
  <c r="J19" i="3"/>
  <c r="J4" i="3"/>
  <c r="J16" i="3"/>
  <c r="J13" i="3"/>
  <c r="J12" i="3"/>
  <c r="J11" i="3"/>
  <c r="J10" i="3"/>
  <c r="L8" i="6"/>
  <c r="N8" i="6"/>
  <c r="N20" i="6"/>
  <c r="L20" i="6"/>
  <c r="N67" i="2"/>
  <c r="M67" i="2"/>
  <c r="J41" i="3"/>
  <c r="J29" i="3"/>
  <c r="J38" i="3"/>
  <c r="J26" i="3"/>
  <c r="J35" i="3"/>
  <c r="J34" i="3"/>
  <c r="J33" i="3"/>
  <c r="J31" i="3"/>
  <c r="J28" i="3"/>
  <c r="J42" i="3"/>
  <c r="J27" i="3"/>
  <c r="J40" i="3"/>
  <c r="J25" i="3"/>
  <c r="J39" i="3"/>
  <c r="J24" i="3"/>
  <c r="J209" i="3"/>
  <c r="O8" i="2" s="1"/>
  <c r="J206" i="3"/>
  <c r="O16" i="2" s="1"/>
  <c r="L12" i="6"/>
  <c r="J17" i="3"/>
  <c r="J5" i="3"/>
  <c r="J14" i="3"/>
  <c r="J2" i="3"/>
  <c r="L25" i="6"/>
  <c r="L58" i="6"/>
  <c r="N58" i="6"/>
  <c r="M99" i="2"/>
  <c r="R100" i="2"/>
  <c r="O100" i="2"/>
  <c r="J125" i="3"/>
  <c r="J113" i="3"/>
  <c r="J134" i="3"/>
  <c r="J122" i="3"/>
  <c r="L6" i="6"/>
  <c r="L9" i="6"/>
  <c r="L18" i="6"/>
  <c r="N18" i="6"/>
  <c r="L30" i="6"/>
  <c r="N30" i="6"/>
  <c r="N35" i="6"/>
  <c r="N50" i="6"/>
  <c r="L50" i="6"/>
  <c r="L94" i="2"/>
  <c r="N99" i="2"/>
  <c r="L100" i="2"/>
  <c r="L16" i="6"/>
  <c r="L23" i="6"/>
  <c r="L65" i="6"/>
  <c r="N65" i="6"/>
  <c r="L11" i="6"/>
  <c r="L21" i="6"/>
  <c r="N21" i="6"/>
  <c r="N26" i="6"/>
  <c r="L33" i="6"/>
  <c r="N33" i="6"/>
  <c r="O90" i="2"/>
  <c r="P94" i="2"/>
  <c r="Q100" i="2"/>
  <c r="L19" i="6"/>
  <c r="N19" i="6"/>
  <c r="L31" i="6"/>
  <c r="N31" i="6"/>
  <c r="L68" i="6"/>
  <c r="N68" i="6"/>
  <c r="R103" i="2"/>
  <c r="O103" i="2"/>
  <c r="L78" i="2"/>
  <c r="L87" i="2"/>
  <c r="P90" i="2"/>
  <c r="Q94" i="2"/>
  <c r="L96" i="2"/>
  <c r="L103" i="2"/>
  <c r="J6" i="3"/>
  <c r="J20" i="3"/>
  <c r="J48" i="3"/>
  <c r="J120" i="3"/>
  <c r="J135" i="3"/>
  <c r="N9" i="6" s="1"/>
  <c r="J150" i="3"/>
  <c r="N10" i="6" s="1"/>
  <c r="J207" i="3"/>
  <c r="J89" i="3"/>
  <c r="N17" i="6"/>
  <c r="L24" i="6"/>
  <c r="N24" i="6"/>
  <c r="N29" i="6"/>
  <c r="L48" i="6"/>
  <c r="N48" i="6"/>
  <c r="R97" i="2"/>
  <c r="O97" i="2"/>
  <c r="M103" i="2"/>
  <c r="J7" i="3"/>
  <c r="J21" i="3"/>
  <c r="J136" i="3"/>
  <c r="J208" i="3"/>
  <c r="O18" i="2" s="1"/>
  <c r="J197" i="3"/>
  <c r="L17" i="6"/>
  <c r="L29" i="6"/>
  <c r="M91" i="6"/>
  <c r="L91" i="6"/>
  <c r="P91" i="6"/>
  <c r="Q91" i="6"/>
  <c r="N91" i="6"/>
  <c r="O91" i="6"/>
  <c r="N43" i="6"/>
  <c r="Q77" i="6"/>
  <c r="P77" i="6"/>
  <c r="L77" i="6"/>
  <c r="N77" i="6"/>
  <c r="J50" i="3"/>
  <c r="J62" i="3"/>
  <c r="J74" i="3"/>
  <c r="J86" i="3"/>
  <c r="J146" i="3"/>
  <c r="N23" i="6" s="1"/>
  <c r="J170" i="3"/>
  <c r="J182" i="3"/>
  <c r="M13" i="2" s="1"/>
  <c r="P13" i="2" s="1"/>
  <c r="J194" i="3"/>
  <c r="N24" i="2" s="1"/>
  <c r="P24" i="2" s="1"/>
  <c r="N70" i="6"/>
  <c r="N42" i="6"/>
  <c r="L14" i="6"/>
  <c r="L41" i="6"/>
  <c r="L45" i="6"/>
  <c r="N45" i="6"/>
  <c r="L52" i="6"/>
  <c r="N52" i="6"/>
  <c r="L40" i="6"/>
  <c r="N47" i="6"/>
  <c r="N54" i="6"/>
  <c r="L56" i="6"/>
  <c r="N56" i="6"/>
  <c r="N63" i="6"/>
  <c r="L63" i="6"/>
  <c r="M88" i="6"/>
  <c r="L88" i="6"/>
  <c r="P88" i="6"/>
  <c r="Q88" i="6"/>
  <c r="N88" i="6"/>
  <c r="J65" i="3"/>
  <c r="J77" i="3"/>
  <c r="J137" i="3"/>
  <c r="N34" i="6" s="1"/>
  <c r="J149" i="3"/>
  <c r="J161" i="3"/>
  <c r="N28" i="6" s="1"/>
  <c r="J185" i="3"/>
  <c r="N22" i="2" s="1"/>
  <c r="N14" i="6"/>
  <c r="N40" i="6"/>
  <c r="N41" i="6"/>
  <c r="L47" i="6"/>
  <c r="O88" i="6"/>
  <c r="L49" i="6"/>
  <c r="N49" i="6"/>
  <c r="L59" i="6"/>
  <c r="M85" i="6"/>
  <c r="L85" i="6"/>
  <c r="P85" i="6"/>
  <c r="Q85" i="6"/>
  <c r="N85" i="6"/>
  <c r="O85" i="6"/>
  <c r="L46" i="6"/>
  <c r="N46" i="6"/>
  <c r="L53" i="6"/>
  <c r="N53" i="6"/>
  <c r="L57" i="6"/>
  <c r="L67" i="6"/>
  <c r="N67" i="6"/>
  <c r="N73" i="6"/>
  <c r="N36" i="6"/>
  <c r="N57" i="6"/>
  <c r="M94" i="6"/>
  <c r="L94" i="6"/>
  <c r="P94" i="6"/>
  <c r="Q94" i="6"/>
  <c r="N94" i="6"/>
  <c r="N72" i="6"/>
  <c r="L72" i="6"/>
  <c r="L76" i="6"/>
  <c r="P76" i="6"/>
  <c r="P81" i="6"/>
  <c r="N81" i="6"/>
  <c r="M81" i="6"/>
  <c r="L81" i="6"/>
  <c r="L62" i="6"/>
  <c r="L71" i="6"/>
  <c r="Q80" i="6"/>
  <c r="P80" i="6"/>
  <c r="L80" i="6"/>
  <c r="L42" i="6"/>
  <c r="L55" i="6"/>
  <c r="O76" i="6"/>
  <c r="M80" i="6"/>
  <c r="Q96" i="6"/>
  <c r="P96" i="6"/>
  <c r="N96" i="6"/>
  <c r="M96" i="6"/>
  <c r="L96" i="6"/>
  <c r="L36" i="6"/>
  <c r="L39" i="6"/>
  <c r="L61" i="6"/>
  <c r="N62" i="6"/>
  <c r="N66" i="6"/>
  <c r="L66" i="6"/>
  <c r="L70" i="6"/>
  <c r="N71" i="6"/>
  <c r="P75" i="6"/>
  <c r="N75" i="6"/>
  <c r="M75" i="6"/>
  <c r="L75" i="6"/>
  <c r="Q76" i="6"/>
  <c r="L79" i="6"/>
  <c r="P79" i="6"/>
  <c r="N80" i="6"/>
  <c r="Q84" i="6"/>
  <c r="P84" i="6"/>
  <c r="N84" i="6"/>
  <c r="M84" i="6"/>
  <c r="L84" i="6"/>
  <c r="Q87" i="6"/>
  <c r="P87" i="6"/>
  <c r="N87" i="6"/>
  <c r="M87" i="6"/>
  <c r="L87" i="6"/>
  <c r="Q90" i="6"/>
  <c r="P90" i="6"/>
  <c r="N90" i="6"/>
  <c r="M90" i="6"/>
  <c r="L90" i="6"/>
  <c r="Q93" i="6"/>
  <c r="P93" i="6"/>
  <c r="N93" i="6"/>
  <c r="M93" i="6"/>
  <c r="L93" i="6"/>
  <c r="O96" i="6"/>
  <c r="L54" i="6"/>
  <c r="N55" i="6"/>
  <c r="O80" i="6"/>
  <c r="L74" i="6"/>
  <c r="Q75" i="6"/>
  <c r="N79" i="6"/>
  <c r="Q83" i="6"/>
  <c r="P83" i="6"/>
  <c r="L83" i="6"/>
  <c r="L51" i="6"/>
  <c r="Q86" i="6"/>
  <c r="P86" i="6"/>
  <c r="L86" i="6"/>
  <c r="Q89" i="6"/>
  <c r="P89" i="6"/>
  <c r="L89" i="6"/>
  <c r="Q92" i="6"/>
  <c r="P92" i="6"/>
  <c r="L92" i="6"/>
  <c r="N44" i="6"/>
  <c r="N51" i="6"/>
  <c r="N60" i="6"/>
  <c r="L60" i="6"/>
  <c r="L64" i="6"/>
  <c r="N69" i="6"/>
  <c r="L69" i="6"/>
  <c r="L73" i="6"/>
  <c r="N74" i="6"/>
  <c r="P78" i="6"/>
  <c r="N78" i="6"/>
  <c r="M78" i="6"/>
  <c r="L78" i="6"/>
  <c r="Q79" i="6"/>
  <c r="L82" i="6"/>
  <c r="P82" i="6"/>
  <c r="N83" i="6"/>
  <c r="M86" i="6"/>
  <c r="M89" i="6"/>
  <c r="M92" i="6"/>
  <c r="O78" i="6"/>
  <c r="M82" i="6"/>
  <c r="O83" i="6"/>
  <c r="N86" i="6"/>
  <c r="N89" i="6"/>
  <c r="N92" i="6"/>
  <c r="M97" i="6"/>
  <c r="L97" i="6"/>
  <c r="P97" i="6"/>
  <c r="O97" i="6"/>
  <c r="O100" i="6"/>
  <c r="O103" i="6"/>
  <c r="L95" i="6"/>
  <c r="L98" i="6"/>
  <c r="P100" i="6"/>
  <c r="L101" i="6"/>
  <c r="P103" i="6"/>
  <c r="L104" i="6"/>
  <c r="O104" i="6"/>
  <c r="P95" i="6"/>
  <c r="P98" i="6"/>
  <c r="L99" i="6"/>
  <c r="P101" i="6"/>
  <c r="L102" i="6"/>
  <c r="P104" i="6"/>
  <c r="L105" i="6"/>
  <c r="M99" i="6"/>
  <c r="M102" i="6"/>
  <c r="M105" i="6"/>
  <c r="N99" i="6"/>
  <c r="N102" i="6"/>
  <c r="N105" i="6"/>
  <c r="O105" i="6"/>
  <c r="P99" i="6"/>
  <c r="L100" i="6"/>
  <c r="P102" i="6"/>
  <c r="L103" i="6"/>
  <c r="P105" i="6"/>
  <c r="P69" i="2" l="1"/>
  <c r="P71" i="2"/>
  <c r="P52" i="2"/>
  <c r="P44" i="2"/>
  <c r="P9" i="2"/>
  <c r="P70" i="2"/>
  <c r="P55" i="2"/>
  <c r="P28" i="2"/>
  <c r="P49" i="2"/>
  <c r="P58" i="2"/>
  <c r="P64" i="2"/>
  <c r="P35" i="2"/>
  <c r="P34" i="2"/>
  <c r="P73" i="2"/>
  <c r="P19" i="2"/>
  <c r="P46" i="2"/>
  <c r="P17" i="2"/>
  <c r="P45" i="2"/>
  <c r="P31" i="2"/>
  <c r="P27" i="2"/>
  <c r="P30" i="2"/>
  <c r="P66" i="2"/>
  <c r="P43" i="2"/>
  <c r="P62" i="2"/>
  <c r="P63" i="2"/>
  <c r="P40" i="2"/>
  <c r="P26" i="2"/>
  <c r="P22" i="2"/>
  <c r="P18" i="2"/>
  <c r="P8" i="2"/>
  <c r="P67" i="2"/>
  <c r="N12" i="2"/>
  <c r="P12" i="2" s="1"/>
  <c r="N6" i="6"/>
  <c r="P15" i="2"/>
  <c r="N13" i="6"/>
  <c r="N25" i="6"/>
  <c r="N15" i="6"/>
  <c r="P10" i="2"/>
  <c r="P37" i="2"/>
  <c r="M16" i="2"/>
  <c r="P16" i="2" s="1"/>
  <c r="P70" i="6" l="1"/>
  <c r="Q14" i="2"/>
  <c r="Q12" i="2"/>
  <c r="Q53" i="2"/>
  <c r="Q54" i="2"/>
  <c r="Q24" i="2"/>
  <c r="Q9" i="2"/>
  <c r="Q49" i="2"/>
  <c r="Q11" i="2"/>
  <c r="Q46" i="2"/>
  <c r="Q48" i="2"/>
  <c r="Q72" i="2"/>
  <c r="Q29" i="2"/>
  <c r="Q6" i="2"/>
  <c r="R6" i="2" s="1"/>
  <c r="Q42" i="2"/>
  <c r="Q68" i="2"/>
  <c r="Q60" i="2"/>
  <c r="Q69" i="2"/>
  <c r="Q64" i="2"/>
  <c r="Q47" i="2"/>
  <c r="Q62" i="2"/>
  <c r="Q44" i="2"/>
  <c r="Q35" i="2"/>
  <c r="Q55" i="2"/>
  <c r="Q61" i="2"/>
  <c r="Q31" i="2"/>
  <c r="Q50" i="2"/>
  <c r="Q7" i="2"/>
  <c r="Q58" i="2"/>
  <c r="Q21" i="2"/>
  <c r="P22" i="6"/>
  <c r="P36" i="6"/>
  <c r="P14" i="6"/>
  <c r="P8" i="6"/>
  <c r="P58" i="6"/>
  <c r="P26" i="6"/>
  <c r="Q33" i="2"/>
  <c r="Q41" i="2"/>
  <c r="P9" i="6"/>
  <c r="Q32" i="2"/>
  <c r="P71" i="6"/>
  <c r="Q39" i="2"/>
  <c r="P47" i="6"/>
  <c r="Q18" i="2"/>
  <c r="Q25" i="2"/>
  <c r="P57" i="6"/>
  <c r="P17" i="6"/>
  <c r="Q30" i="2"/>
  <c r="P66" i="6"/>
  <c r="P13" i="6"/>
  <c r="Q74" i="2"/>
  <c r="P20" i="6"/>
  <c r="P32" i="6"/>
  <c r="P18" i="6"/>
  <c r="P44" i="6"/>
  <c r="P42" i="6"/>
  <c r="Q27" i="2"/>
  <c r="P74" i="6"/>
  <c r="Q16" i="2"/>
  <c r="Q67" i="2"/>
  <c r="P49" i="6"/>
  <c r="Q59" i="2"/>
  <c r="Q51" i="2"/>
  <c r="Q71" i="2"/>
  <c r="P51" i="6"/>
  <c r="Q28" i="2"/>
  <c r="P65" i="6"/>
  <c r="Q22" i="2"/>
  <c r="Q43" i="2"/>
  <c r="Q70" i="2"/>
  <c r="P25" i="6"/>
  <c r="P52" i="6"/>
  <c r="P34" i="6"/>
  <c r="Q8" i="2"/>
  <c r="R8" i="2" s="1"/>
  <c r="P45" i="6"/>
  <c r="Q26" i="2"/>
  <c r="P7" i="6"/>
  <c r="P35" i="6"/>
  <c r="P10" i="6"/>
  <c r="P24" i="6"/>
  <c r="P72" i="6"/>
  <c r="P40" i="6"/>
  <c r="P60" i="6"/>
  <c r="P50" i="6"/>
  <c r="P12" i="6"/>
  <c r="Q15" i="2"/>
  <c r="Q73" i="2"/>
  <c r="P41" i="6"/>
  <c r="P46" i="6"/>
  <c r="Q40" i="2"/>
  <c r="Q66" i="2"/>
  <c r="P21" i="6"/>
  <c r="P39" i="6"/>
  <c r="P59" i="6"/>
  <c r="P33" i="6"/>
  <c r="P19" i="6"/>
  <c r="P63" i="6"/>
  <c r="P73" i="6"/>
  <c r="P43" i="6"/>
  <c r="P53" i="6"/>
  <c r="P62" i="6"/>
  <c r="P55" i="6"/>
  <c r="P61" i="6"/>
  <c r="P29" i="6"/>
  <c r="P6" i="6"/>
  <c r="P31" i="6"/>
  <c r="P54" i="6"/>
  <c r="P38" i="6"/>
  <c r="P11" i="6"/>
  <c r="P48" i="6"/>
  <c r="P64" i="6"/>
  <c r="P67" i="6"/>
  <c r="Q37" i="2"/>
  <c r="P37" i="6"/>
  <c r="Q10" i="2"/>
  <c r="R10" i="2" s="1"/>
  <c r="Q65" i="2"/>
  <c r="Q38" i="2"/>
  <c r="P27" i="6"/>
  <c r="Q56" i="2"/>
  <c r="Q20" i="2"/>
  <c r="Q57" i="2"/>
  <c r="Q34" i="2"/>
  <c r="Q45" i="2"/>
  <c r="P69" i="6"/>
  <c r="Q36" i="2"/>
  <c r="P16" i="6"/>
  <c r="P68" i="6"/>
  <c r="P56" i="6"/>
  <c r="P15" i="6"/>
  <c r="Q23" i="2"/>
  <c r="Q19" i="2"/>
  <c r="Q52" i="2"/>
  <c r="Q13" i="2"/>
  <c r="Q17" i="2"/>
  <c r="Q63" i="2"/>
  <c r="P30" i="6"/>
  <c r="P23" i="6"/>
  <c r="P28" i="6"/>
  <c r="R7" i="2" l="1"/>
  <c r="R13" i="2"/>
  <c r="R57" i="2"/>
  <c r="R9" i="2"/>
  <c r="R67" i="2"/>
  <c r="R30" i="2"/>
  <c r="R55" i="2"/>
  <c r="R72" i="2"/>
  <c r="R33" i="2"/>
  <c r="R16" i="2"/>
  <c r="R35" i="2"/>
  <c r="R48" i="2"/>
  <c r="R52" i="2"/>
  <c r="R70" i="2"/>
  <c r="R44" i="2"/>
  <c r="R46" i="2"/>
  <c r="R56" i="2"/>
  <c r="R27" i="2"/>
  <c r="R25" i="2"/>
  <c r="R62" i="2"/>
  <c r="R11" i="2"/>
  <c r="R20" i="2"/>
  <c r="R22" i="2"/>
  <c r="R18" i="2"/>
  <c r="R47" i="2"/>
  <c r="R49" i="2"/>
  <c r="R61" i="2"/>
  <c r="R66" i="2"/>
  <c r="R64" i="2"/>
  <c r="R29" i="2"/>
  <c r="R39" i="2"/>
  <c r="R21" i="2"/>
  <c r="R69" i="2"/>
  <c r="R24" i="2"/>
  <c r="R43" i="2"/>
  <c r="R36" i="2"/>
  <c r="R37" i="2"/>
  <c r="R58" i="2"/>
  <c r="R60" i="2"/>
  <c r="R54" i="2"/>
  <c r="R23" i="2"/>
  <c r="R65" i="2"/>
  <c r="R40" i="2"/>
  <c r="R26" i="2"/>
  <c r="R71" i="2"/>
  <c r="R32" i="2"/>
  <c r="R68" i="2"/>
  <c r="R53" i="2"/>
  <c r="R19" i="2"/>
  <c r="R63" i="2"/>
  <c r="R45" i="2"/>
  <c r="R73" i="2"/>
  <c r="R51" i="2"/>
  <c r="R74" i="2"/>
  <c r="R50" i="2"/>
  <c r="R42" i="2"/>
  <c r="R12" i="2"/>
  <c r="R38" i="2"/>
  <c r="R28" i="2"/>
  <c r="R17" i="2"/>
  <c r="R34" i="2"/>
  <c r="R15" i="2"/>
  <c r="R59" i="2"/>
  <c r="R41" i="2"/>
  <c r="R31" i="2"/>
  <c r="A6" i="2"/>
  <c r="R14" i="2"/>
  <c r="A8" i="2" l="1"/>
  <c r="H8" i="2" s="1"/>
  <c r="A32" i="2"/>
  <c r="F32" i="2" s="1"/>
  <c r="A7" i="2"/>
  <c r="H7" i="2" s="1"/>
  <c r="A46" i="2"/>
  <c r="G46" i="2" s="1"/>
  <c r="A63" i="2"/>
  <c r="B63" i="2" s="1"/>
  <c r="A15" i="2"/>
  <c r="D15" i="2" s="1"/>
  <c r="A9" i="2"/>
  <c r="E9" i="2" s="1"/>
  <c r="A26" i="2"/>
  <c r="C26" i="2" s="1"/>
  <c r="A56" i="2"/>
  <c r="E56" i="2" s="1"/>
  <c r="A22" i="2"/>
  <c r="B22" i="2" s="1"/>
  <c r="A16" i="2"/>
  <c r="G16" i="2" s="1"/>
  <c r="A12" i="2"/>
  <c r="F12" i="2" s="1"/>
  <c r="A10" i="2"/>
  <c r="H10" i="2" s="1"/>
  <c r="A85" i="2"/>
  <c r="D85" i="2" s="1"/>
  <c r="A49" i="2"/>
  <c r="A48" i="2"/>
  <c r="A50" i="2"/>
  <c r="A98" i="2"/>
  <c r="A84" i="2"/>
  <c r="A31" i="2"/>
  <c r="A60" i="2"/>
  <c r="A99" i="2"/>
  <c r="A89" i="2"/>
  <c r="A39" i="2"/>
  <c r="A83" i="2"/>
  <c r="A94" i="2"/>
  <c r="A47" i="2"/>
  <c r="A78" i="2"/>
  <c r="A57" i="2"/>
  <c r="A105" i="2"/>
  <c r="A58" i="2"/>
  <c r="A28" i="2"/>
  <c r="A75" i="2"/>
  <c r="A101" i="2"/>
  <c r="A71" i="2"/>
  <c r="A81" i="2"/>
  <c r="A102" i="2"/>
  <c r="A25" i="2"/>
  <c r="A72" i="2"/>
  <c r="A19" i="2"/>
  <c r="A44" i="2"/>
  <c r="A82" i="2"/>
  <c r="A23" i="2"/>
  <c r="A33" i="2"/>
  <c r="A91" i="2"/>
  <c r="A73" i="2"/>
  <c r="A77" i="2"/>
  <c r="A61" i="2"/>
  <c r="A76" i="2"/>
  <c r="A59" i="2"/>
  <c r="A21" i="2"/>
  <c r="A34" i="2"/>
  <c r="A27" i="2"/>
  <c r="A87" i="2"/>
  <c r="A86" i="2"/>
  <c r="A74" i="2"/>
  <c r="A35" i="2"/>
  <c r="A41" i="2"/>
  <c r="D6" i="2"/>
  <c r="G6" i="2"/>
  <c r="F6" i="2"/>
  <c r="E6" i="2"/>
  <c r="H6" i="2"/>
  <c r="C6" i="2"/>
  <c r="B6" i="2"/>
  <c r="B10" i="2"/>
  <c r="A64" i="2"/>
  <c r="A62" i="2"/>
  <c r="A37" i="2"/>
  <c r="A17" i="2"/>
  <c r="A51" i="2"/>
  <c r="A36" i="2"/>
  <c r="A96" i="2"/>
  <c r="A95" i="2"/>
  <c r="A40" i="2"/>
  <c r="A66" i="2"/>
  <c r="A93" i="2"/>
  <c r="A90" i="2"/>
  <c r="A38" i="2"/>
  <c r="A13" i="2"/>
  <c r="A52" i="2"/>
  <c r="A104" i="2"/>
  <c r="A97" i="2"/>
  <c r="A20" i="2"/>
  <c r="A80" i="2"/>
  <c r="A14" i="2"/>
  <c r="A70" i="2"/>
  <c r="A45" i="2"/>
  <c r="A65" i="2"/>
  <c r="A18" i="2"/>
  <c r="A92" i="2"/>
  <c r="A55" i="2"/>
  <c r="A24" i="2"/>
  <c r="A67" i="2"/>
  <c r="A54" i="2"/>
  <c r="A88" i="2"/>
  <c r="A100" i="2"/>
  <c r="A103" i="2"/>
  <c r="A42" i="2"/>
  <c r="A79" i="2"/>
  <c r="A11" i="2"/>
  <c r="A29" i="2"/>
  <c r="A43" i="2"/>
  <c r="A69" i="2"/>
  <c r="A53" i="2"/>
  <c r="A30" i="2"/>
  <c r="A68" i="2"/>
  <c r="G8" i="2" l="1"/>
  <c r="D8" i="2"/>
  <c r="E8" i="2"/>
  <c r="F8" i="2"/>
  <c r="C8" i="2"/>
  <c r="B8" i="2"/>
  <c r="H16" i="2"/>
  <c r="E16" i="2"/>
  <c r="G7" i="2"/>
  <c r="B7" i="2"/>
  <c r="G32" i="2"/>
  <c r="C7" i="2"/>
  <c r="D7" i="2"/>
  <c r="H56" i="2"/>
  <c r="F7" i="2"/>
  <c r="E7" i="2"/>
  <c r="D32" i="2"/>
  <c r="B32" i="2"/>
  <c r="D16" i="2"/>
  <c r="H63" i="2"/>
  <c r="F56" i="2"/>
  <c r="F22" i="2"/>
  <c r="B46" i="2"/>
  <c r="H12" i="2"/>
  <c r="C46" i="2"/>
  <c r="H32" i="2"/>
  <c r="D56" i="2"/>
  <c r="C63" i="2"/>
  <c r="B16" i="2"/>
  <c r="E63" i="2"/>
  <c r="E32" i="2"/>
  <c r="C16" i="2"/>
  <c r="F63" i="2"/>
  <c r="C32" i="2"/>
  <c r="F16" i="2"/>
  <c r="C15" i="2"/>
  <c r="H15" i="2"/>
  <c r="D46" i="2"/>
  <c r="B15" i="2"/>
  <c r="G22" i="2"/>
  <c r="G12" i="2"/>
  <c r="D22" i="2"/>
  <c r="E46" i="2"/>
  <c r="E22" i="2"/>
  <c r="B9" i="2"/>
  <c r="D9" i="2"/>
  <c r="H9" i="2"/>
  <c r="B12" i="2"/>
  <c r="G63" i="2"/>
  <c r="G9" i="2"/>
  <c r="C22" i="2"/>
  <c r="F46" i="2"/>
  <c r="E26" i="2"/>
  <c r="B26" i="2"/>
  <c r="C12" i="2"/>
  <c r="G26" i="2"/>
  <c r="E12" i="2"/>
  <c r="F26" i="2"/>
  <c r="D12" i="2"/>
  <c r="D26" i="2"/>
  <c r="H26" i="2"/>
  <c r="H22" i="2"/>
  <c r="H46" i="2"/>
  <c r="G56" i="2"/>
  <c r="F9" i="2"/>
  <c r="C10" i="2"/>
  <c r="E15" i="2"/>
  <c r="F15" i="2"/>
  <c r="D10" i="2"/>
  <c r="C9" i="2"/>
  <c r="G15" i="2"/>
  <c r="B56" i="2"/>
  <c r="C56" i="2"/>
  <c r="E10" i="2"/>
  <c r="F85" i="2"/>
  <c r="F10" i="2"/>
  <c r="G10" i="2"/>
  <c r="G85" i="2"/>
  <c r="D63" i="2"/>
  <c r="H85" i="2"/>
  <c r="E85" i="2"/>
  <c r="B85" i="2"/>
  <c r="C85" i="2"/>
  <c r="D88" i="2"/>
  <c r="H88" i="2"/>
  <c r="G88" i="2"/>
  <c r="F88" i="2"/>
  <c r="B88" i="2"/>
  <c r="E88" i="2"/>
  <c r="C88" i="2"/>
  <c r="H65" i="2"/>
  <c r="G65" i="2"/>
  <c r="D65" i="2"/>
  <c r="F65" i="2"/>
  <c r="E65" i="2"/>
  <c r="C65" i="2"/>
  <c r="B65" i="2"/>
  <c r="E70" i="2"/>
  <c r="G70" i="2"/>
  <c r="H70" i="2"/>
  <c r="F70" i="2"/>
  <c r="D70" i="2"/>
  <c r="C70" i="2"/>
  <c r="B70" i="2"/>
  <c r="H87" i="2"/>
  <c r="D87" i="2"/>
  <c r="G87" i="2"/>
  <c r="C87" i="2"/>
  <c r="F87" i="2"/>
  <c r="E87" i="2"/>
  <c r="B87" i="2"/>
  <c r="D76" i="2"/>
  <c r="C76" i="2"/>
  <c r="B76" i="2"/>
  <c r="H76" i="2"/>
  <c r="E76" i="2"/>
  <c r="F76" i="2"/>
  <c r="G76" i="2"/>
  <c r="H28" i="2"/>
  <c r="E28" i="2"/>
  <c r="B28" i="2"/>
  <c r="G28" i="2"/>
  <c r="F28" i="2"/>
  <c r="D28" i="2"/>
  <c r="C28" i="2"/>
  <c r="H99" i="2"/>
  <c r="E99" i="2"/>
  <c r="D99" i="2"/>
  <c r="C99" i="2"/>
  <c r="B99" i="2"/>
  <c r="G99" i="2"/>
  <c r="F99" i="2"/>
  <c r="C58" i="2"/>
  <c r="B58" i="2"/>
  <c r="H58" i="2"/>
  <c r="G58" i="2"/>
  <c r="F58" i="2"/>
  <c r="E58" i="2"/>
  <c r="D58" i="2"/>
  <c r="G34" i="2"/>
  <c r="F34" i="2"/>
  <c r="C34" i="2"/>
  <c r="H34" i="2"/>
  <c r="B34" i="2"/>
  <c r="D34" i="2"/>
  <c r="E34" i="2"/>
  <c r="C77" i="2"/>
  <c r="H77" i="2"/>
  <c r="E77" i="2"/>
  <c r="G77" i="2"/>
  <c r="F77" i="2"/>
  <c r="D77" i="2"/>
  <c r="B77" i="2"/>
  <c r="C31" i="2"/>
  <c r="B31" i="2"/>
  <c r="F31" i="2"/>
  <c r="E31" i="2"/>
  <c r="H31" i="2"/>
  <c r="G31" i="2"/>
  <c r="D31" i="2"/>
  <c r="C49" i="2"/>
  <c r="B49" i="2"/>
  <c r="H49" i="2"/>
  <c r="G49" i="2"/>
  <c r="F49" i="2"/>
  <c r="E49" i="2"/>
  <c r="D49" i="2"/>
  <c r="G95" i="2"/>
  <c r="F95" i="2"/>
  <c r="D95" i="2"/>
  <c r="H95" i="2"/>
  <c r="B95" i="2"/>
  <c r="E95" i="2"/>
  <c r="C95" i="2"/>
  <c r="H41" i="2"/>
  <c r="G41" i="2"/>
  <c r="F41" i="2"/>
  <c r="E41" i="2"/>
  <c r="D41" i="2"/>
  <c r="C41" i="2"/>
  <c r="B41" i="2"/>
  <c r="D48" i="2"/>
  <c r="F48" i="2"/>
  <c r="E48" i="2"/>
  <c r="H48" i="2"/>
  <c r="G48" i="2"/>
  <c r="C48" i="2"/>
  <c r="B48" i="2"/>
  <c r="D30" i="2"/>
  <c r="F30" i="2"/>
  <c r="E30" i="2"/>
  <c r="C30" i="2"/>
  <c r="H30" i="2"/>
  <c r="G30" i="2"/>
  <c r="B30" i="2"/>
  <c r="G73" i="2"/>
  <c r="F73" i="2"/>
  <c r="C73" i="2"/>
  <c r="E73" i="2"/>
  <c r="D73" i="2"/>
  <c r="B73" i="2"/>
  <c r="H73" i="2"/>
  <c r="H96" i="2"/>
  <c r="D96" i="2"/>
  <c r="C96" i="2"/>
  <c r="F96" i="2"/>
  <c r="E96" i="2"/>
  <c r="B96" i="2"/>
  <c r="G96" i="2"/>
  <c r="D91" i="2"/>
  <c r="F91" i="2"/>
  <c r="E91" i="2"/>
  <c r="H91" i="2"/>
  <c r="G91" i="2"/>
  <c r="B91" i="2"/>
  <c r="C91" i="2"/>
  <c r="G98" i="2"/>
  <c r="F98" i="2"/>
  <c r="E98" i="2"/>
  <c r="C98" i="2"/>
  <c r="B98" i="2"/>
  <c r="H98" i="2"/>
  <c r="D98" i="2"/>
  <c r="E80" i="2"/>
  <c r="D80" i="2"/>
  <c r="C80" i="2"/>
  <c r="F80" i="2"/>
  <c r="H80" i="2"/>
  <c r="G80" i="2"/>
  <c r="B80" i="2"/>
  <c r="H53" i="2"/>
  <c r="D53" i="2"/>
  <c r="C53" i="2"/>
  <c r="B53" i="2"/>
  <c r="E53" i="2"/>
  <c r="G53" i="2"/>
  <c r="F53" i="2"/>
  <c r="H93" i="2"/>
  <c r="F93" i="2"/>
  <c r="E93" i="2"/>
  <c r="D93" i="2"/>
  <c r="C93" i="2"/>
  <c r="G93" i="2"/>
  <c r="B93" i="2"/>
  <c r="D36" i="2"/>
  <c r="E36" i="2"/>
  <c r="C36" i="2"/>
  <c r="B36" i="2"/>
  <c r="F36" i="2"/>
  <c r="H36" i="2"/>
  <c r="G36" i="2"/>
  <c r="D33" i="2"/>
  <c r="F33" i="2"/>
  <c r="G33" i="2"/>
  <c r="B33" i="2"/>
  <c r="E33" i="2"/>
  <c r="H33" i="2"/>
  <c r="C33" i="2"/>
  <c r="H50" i="2"/>
  <c r="B50" i="2"/>
  <c r="G50" i="2"/>
  <c r="F50" i="2"/>
  <c r="C50" i="2"/>
  <c r="E50" i="2"/>
  <c r="D50" i="2"/>
  <c r="H14" i="2"/>
  <c r="G14" i="2"/>
  <c r="F14" i="2"/>
  <c r="B14" i="2"/>
  <c r="E14" i="2"/>
  <c r="D14" i="2"/>
  <c r="C14" i="2"/>
  <c r="D60" i="2"/>
  <c r="F60" i="2"/>
  <c r="H60" i="2"/>
  <c r="G60" i="2"/>
  <c r="E60" i="2"/>
  <c r="C60" i="2"/>
  <c r="B60" i="2"/>
  <c r="D97" i="2"/>
  <c r="H97" i="2"/>
  <c r="G97" i="2"/>
  <c r="B97" i="2"/>
  <c r="F97" i="2"/>
  <c r="E97" i="2"/>
  <c r="C97" i="2"/>
  <c r="D103" i="2"/>
  <c r="E103" i="2"/>
  <c r="C103" i="2"/>
  <c r="B103" i="2"/>
  <c r="H103" i="2"/>
  <c r="G103" i="2"/>
  <c r="F103" i="2"/>
  <c r="G52" i="2"/>
  <c r="F52" i="2"/>
  <c r="C52" i="2"/>
  <c r="H52" i="2"/>
  <c r="B52" i="2"/>
  <c r="E52" i="2"/>
  <c r="D52" i="2"/>
  <c r="D51" i="2"/>
  <c r="F51" i="2"/>
  <c r="H51" i="2"/>
  <c r="G51" i="2"/>
  <c r="B51" i="2"/>
  <c r="E51" i="2"/>
  <c r="C51" i="2"/>
  <c r="H23" i="2"/>
  <c r="D23" i="2"/>
  <c r="C23" i="2"/>
  <c r="B23" i="2"/>
  <c r="E23" i="2"/>
  <c r="G23" i="2"/>
  <c r="F23" i="2"/>
  <c r="G25" i="2"/>
  <c r="F25" i="2"/>
  <c r="E25" i="2"/>
  <c r="B25" i="2"/>
  <c r="D25" i="2"/>
  <c r="H25" i="2"/>
  <c r="C25" i="2"/>
  <c r="H78" i="2"/>
  <c r="C78" i="2"/>
  <c r="E78" i="2"/>
  <c r="G78" i="2"/>
  <c r="F78" i="2"/>
  <c r="D78" i="2"/>
  <c r="B78" i="2"/>
  <c r="G61" i="2"/>
  <c r="F61" i="2"/>
  <c r="C61" i="2"/>
  <c r="H61" i="2"/>
  <c r="E61" i="2"/>
  <c r="D61" i="2"/>
  <c r="B61" i="2"/>
  <c r="H90" i="2"/>
  <c r="B90" i="2"/>
  <c r="G90" i="2"/>
  <c r="D90" i="2"/>
  <c r="C90" i="2"/>
  <c r="F90" i="2"/>
  <c r="E90" i="2"/>
  <c r="G43" i="2"/>
  <c r="F43" i="2"/>
  <c r="C43" i="2"/>
  <c r="H43" i="2"/>
  <c r="E43" i="2"/>
  <c r="D43" i="2"/>
  <c r="B43" i="2"/>
  <c r="D66" i="2"/>
  <c r="F66" i="2"/>
  <c r="E66" i="2"/>
  <c r="H66" i="2"/>
  <c r="G66" i="2"/>
  <c r="C66" i="2"/>
  <c r="B66" i="2"/>
  <c r="H29" i="2"/>
  <c r="G29" i="2"/>
  <c r="D29" i="2"/>
  <c r="C29" i="2"/>
  <c r="B29" i="2"/>
  <c r="F29" i="2"/>
  <c r="E29" i="2"/>
  <c r="G55" i="2"/>
  <c r="E55" i="2"/>
  <c r="D55" i="2"/>
  <c r="C55" i="2"/>
  <c r="B55" i="2"/>
  <c r="F55" i="2"/>
  <c r="H55" i="2"/>
  <c r="B13" i="2"/>
  <c r="C13" i="2"/>
  <c r="H13" i="2"/>
  <c r="G13" i="2"/>
  <c r="E13" i="2"/>
  <c r="D13" i="2"/>
  <c r="F13" i="2"/>
  <c r="C40" i="2"/>
  <c r="B40" i="2"/>
  <c r="H40" i="2"/>
  <c r="G40" i="2"/>
  <c r="F40" i="2"/>
  <c r="E40" i="2"/>
  <c r="D40" i="2"/>
  <c r="H17" i="2"/>
  <c r="C17" i="2"/>
  <c r="B17" i="2"/>
  <c r="D17" i="2"/>
  <c r="G17" i="2"/>
  <c r="F17" i="2"/>
  <c r="E17" i="2"/>
  <c r="D82" i="2"/>
  <c r="G82" i="2"/>
  <c r="E82" i="2"/>
  <c r="H82" i="2"/>
  <c r="F82" i="2"/>
  <c r="C82" i="2"/>
  <c r="B82" i="2"/>
  <c r="H102" i="2"/>
  <c r="E102" i="2"/>
  <c r="F102" i="2"/>
  <c r="D102" i="2"/>
  <c r="C102" i="2"/>
  <c r="B102" i="2"/>
  <c r="G102" i="2"/>
  <c r="H47" i="2"/>
  <c r="G47" i="2"/>
  <c r="D47" i="2"/>
  <c r="F47" i="2"/>
  <c r="E47" i="2"/>
  <c r="C47" i="2"/>
  <c r="B47" i="2"/>
  <c r="H20" i="2"/>
  <c r="G20" i="2"/>
  <c r="F20" i="2"/>
  <c r="E20" i="2"/>
  <c r="D20" i="2"/>
  <c r="C20" i="2"/>
  <c r="B20" i="2"/>
  <c r="H84" i="2"/>
  <c r="F84" i="2"/>
  <c r="E84" i="2"/>
  <c r="D84" i="2"/>
  <c r="G84" i="2"/>
  <c r="C84" i="2"/>
  <c r="B84" i="2"/>
  <c r="D54" i="2"/>
  <c r="E54" i="2"/>
  <c r="C54" i="2"/>
  <c r="B54" i="2"/>
  <c r="F54" i="2"/>
  <c r="H54" i="2"/>
  <c r="G54" i="2"/>
  <c r="H104" i="2"/>
  <c r="G104" i="2"/>
  <c r="C104" i="2"/>
  <c r="B104" i="2"/>
  <c r="F104" i="2"/>
  <c r="D104" i="2"/>
  <c r="E104" i="2"/>
  <c r="H11" i="2"/>
  <c r="G11" i="2"/>
  <c r="F11" i="2"/>
  <c r="E11" i="2"/>
  <c r="D11" i="2"/>
  <c r="C11" i="2"/>
  <c r="B11" i="2"/>
  <c r="H92" i="2"/>
  <c r="G92" i="2"/>
  <c r="C92" i="2"/>
  <c r="B92" i="2"/>
  <c r="D92" i="2"/>
  <c r="F92" i="2"/>
  <c r="E92" i="2"/>
  <c r="H38" i="2"/>
  <c r="G38" i="2"/>
  <c r="D38" i="2"/>
  <c r="F38" i="2"/>
  <c r="E38" i="2"/>
  <c r="C38" i="2"/>
  <c r="B38" i="2"/>
  <c r="G37" i="2"/>
  <c r="E37" i="2"/>
  <c r="D37" i="2"/>
  <c r="C37" i="2"/>
  <c r="B37" i="2"/>
  <c r="F37" i="2"/>
  <c r="H37" i="2"/>
  <c r="H44" i="2"/>
  <c r="D44" i="2"/>
  <c r="C44" i="2"/>
  <c r="G44" i="2"/>
  <c r="F44" i="2"/>
  <c r="E44" i="2"/>
  <c r="B44" i="2"/>
  <c r="H81" i="2"/>
  <c r="B81" i="2"/>
  <c r="F81" i="2"/>
  <c r="D81" i="2"/>
  <c r="G81" i="2"/>
  <c r="C81" i="2"/>
  <c r="E81" i="2"/>
  <c r="D94" i="2"/>
  <c r="C94" i="2"/>
  <c r="B94" i="2"/>
  <c r="G94" i="2"/>
  <c r="H94" i="2"/>
  <c r="F94" i="2"/>
  <c r="E94" i="2"/>
  <c r="D100" i="2"/>
  <c r="C100" i="2"/>
  <c r="B100" i="2"/>
  <c r="H100" i="2"/>
  <c r="G100" i="2"/>
  <c r="E100" i="2"/>
  <c r="F100" i="2"/>
  <c r="D69" i="2"/>
  <c r="C69" i="2"/>
  <c r="G69" i="2"/>
  <c r="H69" i="2"/>
  <c r="F69" i="2"/>
  <c r="E69" i="2"/>
  <c r="B69" i="2"/>
  <c r="C67" i="2"/>
  <c r="B67" i="2"/>
  <c r="H67" i="2"/>
  <c r="G67" i="2"/>
  <c r="F67" i="2"/>
  <c r="D67" i="2"/>
  <c r="E67" i="2"/>
  <c r="D24" i="2"/>
  <c r="B24" i="2"/>
  <c r="G24" i="2"/>
  <c r="C24" i="2"/>
  <c r="H24" i="2"/>
  <c r="F24" i="2"/>
  <c r="E24" i="2"/>
  <c r="D79" i="2"/>
  <c r="H79" i="2"/>
  <c r="G79" i="2"/>
  <c r="F79" i="2"/>
  <c r="B79" i="2"/>
  <c r="E79" i="2"/>
  <c r="C79" i="2"/>
  <c r="D18" i="2"/>
  <c r="H18" i="2"/>
  <c r="F18" i="2"/>
  <c r="G18" i="2"/>
  <c r="C18" i="2"/>
  <c r="B18" i="2"/>
  <c r="E18" i="2"/>
  <c r="H62" i="2"/>
  <c r="D62" i="2"/>
  <c r="C62" i="2"/>
  <c r="G62" i="2"/>
  <c r="F62" i="2"/>
  <c r="E62" i="2"/>
  <c r="B62" i="2"/>
  <c r="H35" i="2"/>
  <c r="D35" i="2"/>
  <c r="C35" i="2"/>
  <c r="B35" i="2"/>
  <c r="E35" i="2"/>
  <c r="G35" i="2"/>
  <c r="F35" i="2"/>
  <c r="H19" i="2"/>
  <c r="G19" i="2"/>
  <c r="F19" i="2"/>
  <c r="D19" i="2"/>
  <c r="E19" i="2"/>
  <c r="C19" i="2"/>
  <c r="B19" i="2"/>
  <c r="H71" i="2"/>
  <c r="G71" i="2"/>
  <c r="C71" i="2"/>
  <c r="E71" i="2"/>
  <c r="F71" i="2"/>
  <c r="D71" i="2"/>
  <c r="B71" i="2"/>
  <c r="H105" i="2"/>
  <c r="E105" i="2"/>
  <c r="G105" i="2"/>
  <c r="F105" i="2"/>
  <c r="D105" i="2"/>
  <c r="B105" i="2"/>
  <c r="C105" i="2"/>
  <c r="H83" i="2"/>
  <c r="G83" i="2"/>
  <c r="E83" i="2"/>
  <c r="F83" i="2"/>
  <c r="D83" i="2"/>
  <c r="C83" i="2"/>
  <c r="B83" i="2"/>
  <c r="H74" i="2"/>
  <c r="G74" i="2"/>
  <c r="F74" i="2"/>
  <c r="E74" i="2"/>
  <c r="B74" i="2"/>
  <c r="D74" i="2"/>
  <c r="C74" i="2"/>
  <c r="D27" i="2"/>
  <c r="F27" i="2"/>
  <c r="B27" i="2"/>
  <c r="C27" i="2"/>
  <c r="H27" i="2"/>
  <c r="G27" i="2"/>
  <c r="E27" i="2"/>
  <c r="H68" i="2"/>
  <c r="G68" i="2"/>
  <c r="D68" i="2"/>
  <c r="C68" i="2"/>
  <c r="B68" i="2"/>
  <c r="E68" i="2"/>
  <c r="F68" i="2"/>
  <c r="D42" i="2"/>
  <c r="F42" i="2"/>
  <c r="H42" i="2"/>
  <c r="G42" i="2"/>
  <c r="E42" i="2"/>
  <c r="C42" i="2"/>
  <c r="B42" i="2"/>
  <c r="G64" i="2"/>
  <c r="H64" i="2"/>
  <c r="F64" i="2"/>
  <c r="E64" i="2"/>
  <c r="D64" i="2"/>
  <c r="C64" i="2"/>
  <c r="B64" i="2"/>
  <c r="D21" i="2"/>
  <c r="F21" i="2"/>
  <c r="H21" i="2"/>
  <c r="G21" i="2"/>
  <c r="E21" i="2"/>
  <c r="C21" i="2"/>
  <c r="B21" i="2"/>
  <c r="D72" i="2"/>
  <c r="C72" i="2"/>
  <c r="H72" i="2"/>
  <c r="E72" i="2"/>
  <c r="G72" i="2"/>
  <c r="B72" i="2"/>
  <c r="F72" i="2"/>
  <c r="B101" i="2"/>
  <c r="H101" i="2"/>
  <c r="G101" i="2"/>
  <c r="F101" i="2"/>
  <c r="E101" i="2"/>
  <c r="C101" i="2"/>
  <c r="D101" i="2"/>
  <c r="D57" i="2"/>
  <c r="F57" i="2"/>
  <c r="E57" i="2"/>
  <c r="H57" i="2"/>
  <c r="G57" i="2"/>
  <c r="C57" i="2"/>
  <c r="B57" i="2"/>
  <c r="D39" i="2"/>
  <c r="F39" i="2"/>
  <c r="E39" i="2"/>
  <c r="H39" i="2"/>
  <c r="G39" i="2"/>
  <c r="C39" i="2"/>
  <c r="B39" i="2"/>
  <c r="D45" i="2"/>
  <c r="H45" i="2"/>
  <c r="G45" i="2"/>
  <c r="F45" i="2"/>
  <c r="E45" i="2"/>
  <c r="C45" i="2"/>
  <c r="B45" i="2"/>
  <c r="G86" i="2"/>
  <c r="F86" i="2"/>
  <c r="E86" i="2"/>
  <c r="B86" i="2"/>
  <c r="H86" i="2"/>
  <c r="D86" i="2"/>
  <c r="C86" i="2"/>
  <c r="H59" i="2"/>
  <c r="G59" i="2"/>
  <c r="F59" i="2"/>
  <c r="E59" i="2"/>
  <c r="D59" i="2"/>
  <c r="C59" i="2"/>
  <c r="B59" i="2"/>
  <c r="H75" i="2"/>
  <c r="F75" i="2"/>
  <c r="E75" i="2"/>
  <c r="D75" i="2"/>
  <c r="G75" i="2"/>
  <c r="C75" i="2"/>
  <c r="B75" i="2"/>
  <c r="E89" i="2"/>
  <c r="D89" i="2"/>
  <c r="C89" i="2"/>
  <c r="H89" i="2"/>
  <c r="F89" i="2"/>
  <c r="B89" i="2"/>
  <c r="G89" i="2"/>
  <c r="M12" i="6" l="1"/>
  <c r="M9" i="6"/>
  <c r="M52" i="6"/>
  <c r="M22" i="6"/>
  <c r="M7" i="6"/>
  <c r="M43" i="6"/>
  <c r="M40" i="6"/>
  <c r="M10" i="6"/>
  <c r="M13" i="6"/>
  <c r="M17" i="6"/>
  <c r="M16" i="6"/>
  <c r="M45" i="6"/>
  <c r="M6" i="6"/>
  <c r="M8" i="6"/>
  <c r="M53" i="6"/>
  <c r="M42" i="6"/>
  <c r="M30" i="6"/>
  <c r="M61" i="6"/>
  <c r="M21" i="6"/>
  <c r="M54" i="6"/>
  <c r="M37" i="6"/>
  <c r="M49" i="6"/>
  <c r="M74" i="6"/>
  <c r="M60" i="6"/>
  <c r="M35" i="6"/>
  <c r="M66" i="6"/>
  <c r="M28" i="6"/>
  <c r="M15" i="6"/>
  <c r="M70" i="6"/>
  <c r="M46" i="6"/>
  <c r="M63" i="6"/>
  <c r="M67" i="6"/>
  <c r="M69" i="6"/>
  <c r="M14" i="6"/>
  <c r="M47" i="6"/>
  <c r="M71" i="6"/>
  <c r="M51" i="6"/>
  <c r="M59" i="6"/>
  <c r="M34" i="6"/>
  <c r="M29" i="6"/>
  <c r="M58" i="6"/>
  <c r="M55" i="6"/>
  <c r="M48" i="6"/>
  <c r="M38" i="6"/>
  <c r="M64" i="6"/>
  <c r="M65" i="6"/>
  <c r="M62" i="6"/>
  <c r="M11" i="6"/>
  <c r="M44" i="6"/>
  <c r="M19" i="6"/>
  <c r="M23" i="6"/>
  <c r="M72" i="6"/>
  <c r="M24" i="6"/>
  <c r="M50" i="6"/>
  <c r="M41" i="6"/>
  <c r="M26" i="6"/>
  <c r="M56" i="6"/>
  <c r="M68" i="6"/>
  <c r="M18" i="6"/>
  <c r="M39" i="6"/>
  <c r="M27" i="6"/>
  <c r="M31" i="6"/>
  <c r="M36" i="6"/>
  <c r="M73" i="6"/>
  <c r="M20" i="6"/>
  <c r="M57" i="6"/>
  <c r="M33" i="6"/>
  <c r="M32" i="6"/>
  <c r="M25" i="6"/>
  <c r="O16" i="6" l="1"/>
  <c r="O63" i="6"/>
  <c r="O12" i="6"/>
  <c r="O55" i="6"/>
  <c r="O27" i="6"/>
  <c r="O19" i="6"/>
  <c r="O58" i="6"/>
  <c r="O46" i="6"/>
  <c r="O9" i="6"/>
  <c r="O29" i="6"/>
  <c r="O70" i="6"/>
  <c r="O61" i="6"/>
  <c r="O31" i="6"/>
  <c r="O25" i="6"/>
  <c r="O13" i="6"/>
  <c r="O44" i="6"/>
  <c r="O34" i="6"/>
  <c r="O15" i="6"/>
  <c r="O10" i="6"/>
  <c r="O32" i="6"/>
  <c r="O59" i="6"/>
  <c r="O28" i="6"/>
  <c r="O30" i="6"/>
  <c r="O68" i="6"/>
  <c r="O62" i="6"/>
  <c r="O51" i="6"/>
  <c r="O66" i="6"/>
  <c r="O42" i="6"/>
  <c r="O39" i="6"/>
  <c r="O71" i="6"/>
  <c r="O35" i="6"/>
  <c r="O53" i="6"/>
  <c r="O65" i="6"/>
  <c r="O6" i="6"/>
  <c r="Q6" i="6" s="1"/>
  <c r="O60" i="6"/>
  <c r="O21" i="6"/>
  <c r="O11" i="6"/>
  <c r="O7" i="6"/>
  <c r="O20" i="6"/>
  <c r="O64" i="6"/>
  <c r="O47" i="6"/>
  <c r="O74" i="6"/>
  <c r="O43" i="6"/>
  <c r="O33" i="6"/>
  <c r="O57" i="6"/>
  <c r="O73" i="6"/>
  <c r="O50" i="6"/>
  <c r="O22" i="6"/>
  <c r="O14" i="6"/>
  <c r="O49" i="6"/>
  <c r="O17" i="6"/>
  <c r="O23" i="6"/>
  <c r="O56" i="6"/>
  <c r="O8" i="6"/>
  <c r="O41" i="6"/>
  <c r="O40" i="6"/>
  <c r="O24" i="6"/>
  <c r="O38" i="6"/>
  <c r="O69" i="6"/>
  <c r="O37" i="6"/>
  <c r="O52" i="6"/>
  <c r="O18" i="6"/>
  <c r="O26" i="6"/>
  <c r="O36" i="6"/>
  <c r="O72" i="6"/>
  <c r="O48" i="6"/>
  <c r="O67" i="6"/>
  <c r="O54" i="6"/>
  <c r="O45" i="6"/>
  <c r="Q11" i="6" l="1"/>
  <c r="Q62" i="6"/>
  <c r="Q37" i="6"/>
  <c r="Q22" i="6"/>
  <c r="Q7" i="6"/>
  <c r="A6" i="6" s="1"/>
  <c r="Q52" i="6"/>
  <c r="Q14" i="6"/>
  <c r="Q51" i="6"/>
  <c r="Q25" i="6"/>
  <c r="Q31" i="6"/>
  <c r="Q69" i="6"/>
  <c r="Q50" i="6"/>
  <c r="Q21" i="6"/>
  <c r="Q68" i="6"/>
  <c r="Q61" i="6"/>
  <c r="Q45" i="6"/>
  <c r="Q38" i="6"/>
  <c r="Q73" i="6"/>
  <c r="Q60" i="6"/>
  <c r="Q30" i="6"/>
  <c r="Q70" i="6"/>
  <c r="Q54" i="6"/>
  <c r="Q24" i="6"/>
  <c r="Q57" i="6"/>
  <c r="Q28" i="6"/>
  <c r="Q29" i="6"/>
  <c r="Q67" i="6"/>
  <c r="Q40" i="6"/>
  <c r="Q33" i="6"/>
  <c r="Q65" i="6"/>
  <c r="Q59" i="6"/>
  <c r="Q9" i="6"/>
  <c r="Q48" i="6"/>
  <c r="Q41" i="6"/>
  <c r="Q63" i="6"/>
  <c r="Q53" i="6"/>
  <c r="Q32" i="6"/>
  <c r="Q46" i="6"/>
  <c r="Q72" i="6"/>
  <c r="Q8" i="6"/>
  <c r="Q43" i="6"/>
  <c r="Q35" i="6"/>
  <c r="Q10" i="6"/>
  <c r="Q58" i="6"/>
  <c r="Q36" i="6"/>
  <c r="Q56" i="6"/>
  <c r="Q74" i="6"/>
  <c r="Q71" i="6"/>
  <c r="Q15" i="6"/>
  <c r="Q19" i="6"/>
  <c r="Q26" i="6"/>
  <c r="Q23" i="6"/>
  <c r="Q47" i="6"/>
  <c r="Q39" i="6"/>
  <c r="Q34" i="6"/>
  <c r="Q27" i="6"/>
  <c r="Q18" i="6"/>
  <c r="Q17" i="6"/>
  <c r="Q64" i="6"/>
  <c r="Q42" i="6"/>
  <c r="Q44" i="6"/>
  <c r="Q12" i="6"/>
  <c r="Q55" i="6"/>
  <c r="Q49" i="6"/>
  <c r="Q20" i="6"/>
  <c r="Q66" i="6"/>
  <c r="Q13" i="6"/>
  <c r="Q16" i="6"/>
  <c r="A10" i="6" l="1"/>
  <c r="A12" i="6"/>
  <c r="E12" i="6" s="1"/>
  <c r="A23" i="6"/>
  <c r="E23" i="6" s="1"/>
  <c r="A20" i="6"/>
  <c r="H20" i="6" s="1"/>
  <c r="A90" i="6"/>
  <c r="H90" i="6" s="1"/>
  <c r="A93" i="6"/>
  <c r="D93" i="6" s="1"/>
  <c r="A22" i="6"/>
  <c r="G22" i="6" s="1"/>
  <c r="A9" i="6"/>
  <c r="E9" i="6" s="1"/>
  <c r="A21" i="6"/>
  <c r="H6" i="6"/>
  <c r="G6" i="6"/>
  <c r="E6" i="6"/>
  <c r="D6" i="6"/>
  <c r="C6" i="6"/>
  <c r="B6" i="6"/>
  <c r="A7" i="6"/>
  <c r="A41" i="6"/>
  <c r="A82" i="6"/>
  <c r="A91" i="6"/>
  <c r="A60" i="6"/>
  <c r="A96" i="6"/>
  <c r="A33" i="6"/>
  <c r="H10" i="6"/>
  <c r="G10" i="6"/>
  <c r="D10" i="6"/>
  <c r="C10" i="6"/>
  <c r="E10" i="6"/>
  <c r="B10" i="6"/>
  <c r="A16" i="6"/>
  <c r="A86" i="6"/>
  <c r="A94" i="6"/>
  <c r="A63" i="6"/>
  <c r="A99" i="6"/>
  <c r="A29" i="6"/>
  <c r="A19" i="6"/>
  <c r="A13" i="6"/>
  <c r="A39" i="6"/>
  <c r="A89" i="6"/>
  <c r="A67" i="6"/>
  <c r="A66" i="6"/>
  <c r="A102" i="6"/>
  <c r="A61" i="6"/>
  <c r="A34" i="6"/>
  <c r="A26" i="6"/>
  <c r="A25" i="6"/>
  <c r="A51" i="6"/>
  <c r="A45" i="6"/>
  <c r="A92" i="6"/>
  <c r="A76" i="6"/>
  <c r="A69" i="6"/>
  <c r="A105" i="6"/>
  <c r="A30" i="6"/>
  <c r="A31" i="6"/>
  <c r="A32" i="6"/>
  <c r="A79" i="6"/>
  <c r="A50" i="6"/>
  <c r="A95" i="6"/>
  <c r="A103" i="6"/>
  <c r="A72" i="6"/>
  <c r="A47" i="6"/>
  <c r="A17" i="6"/>
  <c r="A37" i="6"/>
  <c r="A46" i="6"/>
  <c r="A54" i="6"/>
  <c r="A59" i="6"/>
  <c r="A43" i="6"/>
  <c r="A75" i="6"/>
  <c r="A42" i="6"/>
  <c r="A88" i="6"/>
  <c r="A24" i="6"/>
  <c r="H12" i="6"/>
  <c r="G12" i="6"/>
  <c r="A57" i="6"/>
  <c r="A83" i="6"/>
  <c r="A58" i="6"/>
  <c r="A56" i="6"/>
  <c r="A78" i="6"/>
  <c r="A28" i="6"/>
  <c r="A36" i="6"/>
  <c r="A52" i="6"/>
  <c r="A14" i="6"/>
  <c r="A98" i="6"/>
  <c r="A68" i="6"/>
  <c r="A101" i="6"/>
  <c r="A81" i="6"/>
  <c r="A40" i="6"/>
  <c r="A80" i="6"/>
  <c r="A18" i="6"/>
  <c r="A35" i="6"/>
  <c r="A44" i="6"/>
  <c r="A65" i="6"/>
  <c r="A53" i="6"/>
  <c r="A104" i="6"/>
  <c r="A77" i="6"/>
  <c r="A55" i="6"/>
  <c r="A84" i="6"/>
  <c r="A73" i="6"/>
  <c r="A8" i="6"/>
  <c r="A48" i="6"/>
  <c r="A74" i="6"/>
  <c r="A70" i="6"/>
  <c r="A100" i="6"/>
  <c r="A97" i="6"/>
  <c r="A62" i="6"/>
  <c r="A87" i="6"/>
  <c r="A38" i="6"/>
  <c r="A11" i="6"/>
  <c r="A27" i="6"/>
  <c r="A49" i="6"/>
  <c r="A15" i="6"/>
  <c r="A64" i="6"/>
  <c r="A85" i="6"/>
  <c r="A71" i="6"/>
  <c r="D12" i="6" l="1"/>
  <c r="F12" i="6" s="1"/>
  <c r="B12" i="6"/>
  <c r="C12" i="6"/>
  <c r="I10" i="6"/>
  <c r="D22" i="6"/>
  <c r="C22" i="6"/>
  <c r="G90" i="6"/>
  <c r="G20" i="6"/>
  <c r="I20" i="6" s="1"/>
  <c r="E93" i="6"/>
  <c r="B22" i="6"/>
  <c r="F6" i="6"/>
  <c r="B9" i="6"/>
  <c r="B23" i="6"/>
  <c r="C23" i="6"/>
  <c r="G23" i="6"/>
  <c r="B93" i="6"/>
  <c r="F93" i="6"/>
  <c r="I12" i="6"/>
  <c r="H93" i="6"/>
  <c r="C9" i="6"/>
  <c r="I93" i="6"/>
  <c r="G9" i="6"/>
  <c r="G93" i="6"/>
  <c r="H9" i="6"/>
  <c r="I6" i="6"/>
  <c r="C93" i="6"/>
  <c r="F90" i="6"/>
  <c r="E22" i="6"/>
  <c r="I90" i="6"/>
  <c r="D23" i="6"/>
  <c r="F23" i="6" s="1"/>
  <c r="C90" i="6"/>
  <c r="D90" i="6"/>
  <c r="H23" i="6"/>
  <c r="E20" i="6"/>
  <c r="B20" i="6"/>
  <c r="D20" i="6"/>
  <c r="C20" i="6"/>
  <c r="F10" i="6"/>
  <c r="B90" i="6"/>
  <c r="D9" i="6"/>
  <c r="F9" i="6" s="1"/>
  <c r="H22" i="6"/>
  <c r="I22" i="6" s="1"/>
  <c r="E90" i="6"/>
  <c r="H46" i="6"/>
  <c r="G46" i="6"/>
  <c r="E46" i="6"/>
  <c r="B46" i="6"/>
  <c r="D46" i="6"/>
  <c r="C46" i="6"/>
  <c r="D105" i="6"/>
  <c r="C105" i="6"/>
  <c r="B105" i="6"/>
  <c r="G105" i="6"/>
  <c r="F105" i="6"/>
  <c r="I105" i="6"/>
  <c r="H105" i="6"/>
  <c r="E105" i="6"/>
  <c r="H67" i="6"/>
  <c r="G67" i="6"/>
  <c r="C67" i="6"/>
  <c r="D67" i="6"/>
  <c r="B67" i="6"/>
  <c r="E67" i="6"/>
  <c r="H89" i="6"/>
  <c r="G89" i="6"/>
  <c r="E89" i="6"/>
  <c r="D89" i="6"/>
  <c r="C89" i="6"/>
  <c r="I89" i="6"/>
  <c r="F89" i="6"/>
  <c r="B89" i="6"/>
  <c r="G77" i="6"/>
  <c r="E77" i="6"/>
  <c r="D77" i="6"/>
  <c r="C77" i="6"/>
  <c r="I77" i="6"/>
  <c r="H77" i="6"/>
  <c r="F77" i="6"/>
  <c r="B77" i="6"/>
  <c r="G53" i="6"/>
  <c r="D53" i="6"/>
  <c r="C53" i="6"/>
  <c r="H53" i="6"/>
  <c r="B53" i="6"/>
  <c r="E53" i="6"/>
  <c r="D36" i="6"/>
  <c r="C36" i="6"/>
  <c r="H36" i="6"/>
  <c r="G36" i="6"/>
  <c r="E36" i="6"/>
  <c r="B36" i="6"/>
  <c r="H17" i="6"/>
  <c r="G17" i="6"/>
  <c r="D17" i="6"/>
  <c r="C17" i="6"/>
  <c r="E17" i="6"/>
  <c r="B17" i="6"/>
  <c r="I76" i="6"/>
  <c r="H76" i="6"/>
  <c r="G76" i="6"/>
  <c r="C76" i="6"/>
  <c r="D76" i="6"/>
  <c r="B76" i="6"/>
  <c r="F76" i="6"/>
  <c r="E76" i="6"/>
  <c r="D39" i="6"/>
  <c r="C39" i="6"/>
  <c r="H39" i="6"/>
  <c r="G39" i="6"/>
  <c r="B39" i="6"/>
  <c r="E39" i="6"/>
  <c r="C66" i="6"/>
  <c r="G66" i="6"/>
  <c r="H66" i="6"/>
  <c r="E66" i="6"/>
  <c r="D66" i="6"/>
  <c r="B66" i="6"/>
  <c r="I100" i="6"/>
  <c r="H100" i="6"/>
  <c r="G100" i="6"/>
  <c r="F100" i="6"/>
  <c r="C100" i="6"/>
  <c r="B100" i="6"/>
  <c r="E100" i="6"/>
  <c r="D100" i="6"/>
  <c r="H92" i="6"/>
  <c r="G92" i="6"/>
  <c r="E92" i="6"/>
  <c r="D92" i="6"/>
  <c r="C92" i="6"/>
  <c r="I92" i="6"/>
  <c r="F92" i="6"/>
  <c r="B92" i="6"/>
  <c r="H13" i="6"/>
  <c r="G13" i="6"/>
  <c r="D13" i="6"/>
  <c r="C13" i="6"/>
  <c r="B13" i="6"/>
  <c r="E13" i="6"/>
  <c r="D33" i="6"/>
  <c r="C33" i="6"/>
  <c r="H33" i="6"/>
  <c r="G33" i="6"/>
  <c r="E33" i="6"/>
  <c r="F33" i="6" s="1"/>
  <c r="B33" i="6"/>
  <c r="D30" i="6"/>
  <c r="C30" i="6"/>
  <c r="H30" i="6"/>
  <c r="G30" i="6"/>
  <c r="E30" i="6"/>
  <c r="B30" i="6"/>
  <c r="C69" i="6"/>
  <c r="G69" i="6"/>
  <c r="E69" i="6"/>
  <c r="D69" i="6"/>
  <c r="B69" i="6"/>
  <c r="H69" i="6"/>
  <c r="G28" i="6"/>
  <c r="H28" i="6"/>
  <c r="D28" i="6"/>
  <c r="C28" i="6"/>
  <c r="E28" i="6"/>
  <c r="B28" i="6"/>
  <c r="H35" i="6"/>
  <c r="G35" i="6"/>
  <c r="C35" i="6"/>
  <c r="D35" i="6"/>
  <c r="B35" i="6"/>
  <c r="E35" i="6"/>
  <c r="C72" i="6"/>
  <c r="G72" i="6"/>
  <c r="E72" i="6"/>
  <c r="D72" i="6"/>
  <c r="B72" i="6"/>
  <c r="H72" i="6"/>
  <c r="C45" i="6"/>
  <c r="H45" i="6"/>
  <c r="G45" i="6"/>
  <c r="B45" i="6"/>
  <c r="D45" i="6"/>
  <c r="E45" i="6"/>
  <c r="G19" i="6"/>
  <c r="H19" i="6"/>
  <c r="D19" i="6"/>
  <c r="C19" i="6"/>
  <c r="E19" i="6"/>
  <c r="B19" i="6"/>
  <c r="D96" i="6"/>
  <c r="C96" i="6"/>
  <c r="G96" i="6"/>
  <c r="F96" i="6"/>
  <c r="I96" i="6"/>
  <c r="E96" i="6"/>
  <c r="H96" i="6"/>
  <c r="B96" i="6"/>
  <c r="H98" i="6"/>
  <c r="G98" i="6"/>
  <c r="E98" i="6"/>
  <c r="D98" i="6"/>
  <c r="C98" i="6"/>
  <c r="I98" i="6"/>
  <c r="F98" i="6"/>
  <c r="B98" i="6"/>
  <c r="H52" i="6"/>
  <c r="G52" i="6"/>
  <c r="E52" i="6"/>
  <c r="D52" i="6"/>
  <c r="C52" i="6"/>
  <c r="B52" i="6"/>
  <c r="G44" i="6"/>
  <c r="C44" i="6"/>
  <c r="H44" i="6"/>
  <c r="E44" i="6"/>
  <c r="D44" i="6"/>
  <c r="B44" i="6"/>
  <c r="I85" i="6"/>
  <c r="H85" i="6"/>
  <c r="G85" i="6"/>
  <c r="C85" i="6"/>
  <c r="E85" i="6"/>
  <c r="D85" i="6"/>
  <c r="B85" i="6"/>
  <c r="F85" i="6"/>
  <c r="G74" i="6"/>
  <c r="E74" i="6"/>
  <c r="D74" i="6"/>
  <c r="C74" i="6"/>
  <c r="H74" i="6"/>
  <c r="B74" i="6"/>
  <c r="D18" i="6"/>
  <c r="C18" i="6"/>
  <c r="H18" i="6"/>
  <c r="G18" i="6"/>
  <c r="E18" i="6"/>
  <c r="B18" i="6"/>
  <c r="G56" i="6"/>
  <c r="D56" i="6"/>
  <c r="C56" i="6"/>
  <c r="B56" i="6"/>
  <c r="H56" i="6"/>
  <c r="E56" i="6"/>
  <c r="D24" i="6"/>
  <c r="C24" i="6"/>
  <c r="H24" i="6"/>
  <c r="G24" i="6"/>
  <c r="E24" i="6"/>
  <c r="B24" i="6"/>
  <c r="I103" i="6"/>
  <c r="H103" i="6"/>
  <c r="G103" i="6"/>
  <c r="F103" i="6"/>
  <c r="C103" i="6"/>
  <c r="B103" i="6"/>
  <c r="E103" i="6"/>
  <c r="D103" i="6"/>
  <c r="C51" i="6"/>
  <c r="H51" i="6"/>
  <c r="G51" i="6"/>
  <c r="D51" i="6"/>
  <c r="B51" i="6"/>
  <c r="E51" i="6"/>
  <c r="H29" i="6"/>
  <c r="G29" i="6"/>
  <c r="C29" i="6"/>
  <c r="D29" i="6"/>
  <c r="B29" i="6"/>
  <c r="E29" i="6"/>
  <c r="C60" i="6"/>
  <c r="G60" i="6"/>
  <c r="E60" i="6"/>
  <c r="D60" i="6"/>
  <c r="B60" i="6"/>
  <c r="H60" i="6"/>
  <c r="G62" i="6"/>
  <c r="E62" i="6"/>
  <c r="D62" i="6"/>
  <c r="C62" i="6"/>
  <c r="H62" i="6"/>
  <c r="B62" i="6"/>
  <c r="G80" i="6"/>
  <c r="E80" i="6"/>
  <c r="D80" i="6"/>
  <c r="C80" i="6"/>
  <c r="H80" i="6"/>
  <c r="F80" i="6"/>
  <c r="B80" i="6"/>
  <c r="I80" i="6"/>
  <c r="G25" i="6"/>
  <c r="H25" i="6"/>
  <c r="D25" i="6"/>
  <c r="C25" i="6"/>
  <c r="E25" i="6"/>
  <c r="B25" i="6"/>
  <c r="D99" i="6"/>
  <c r="C99" i="6"/>
  <c r="G99" i="6"/>
  <c r="F99" i="6"/>
  <c r="E99" i="6"/>
  <c r="B99" i="6"/>
  <c r="I99" i="6"/>
  <c r="H99" i="6"/>
  <c r="I91" i="6"/>
  <c r="H91" i="6"/>
  <c r="G91" i="6"/>
  <c r="C91" i="6"/>
  <c r="E91" i="6"/>
  <c r="D91" i="6"/>
  <c r="B91" i="6"/>
  <c r="F91" i="6"/>
  <c r="D21" i="6"/>
  <c r="C21" i="6"/>
  <c r="H21" i="6"/>
  <c r="G21" i="6"/>
  <c r="E21" i="6"/>
  <c r="B21" i="6"/>
  <c r="H104" i="6"/>
  <c r="G104" i="6"/>
  <c r="F104" i="6"/>
  <c r="E104" i="6"/>
  <c r="D104" i="6"/>
  <c r="C104" i="6"/>
  <c r="B104" i="6"/>
  <c r="I104" i="6"/>
  <c r="G37" i="6"/>
  <c r="H37" i="6"/>
  <c r="E37" i="6"/>
  <c r="D37" i="6"/>
  <c r="C37" i="6"/>
  <c r="B37" i="6"/>
  <c r="G47" i="6"/>
  <c r="D47" i="6"/>
  <c r="C47" i="6"/>
  <c r="H47" i="6"/>
  <c r="E47" i="6"/>
  <c r="B47" i="6"/>
  <c r="H64" i="6"/>
  <c r="G64" i="6"/>
  <c r="C64" i="6"/>
  <c r="D64" i="6"/>
  <c r="B64" i="6"/>
  <c r="E64" i="6"/>
  <c r="C48" i="6"/>
  <c r="H48" i="6"/>
  <c r="G48" i="6"/>
  <c r="E48" i="6"/>
  <c r="D48" i="6"/>
  <c r="B48" i="6"/>
  <c r="D15" i="6"/>
  <c r="B15" i="6"/>
  <c r="H15" i="6"/>
  <c r="G15" i="6"/>
  <c r="C15" i="6"/>
  <c r="E15" i="6"/>
  <c r="G83" i="6"/>
  <c r="E83" i="6"/>
  <c r="D83" i="6"/>
  <c r="C83" i="6"/>
  <c r="I83" i="6"/>
  <c r="H83" i="6"/>
  <c r="F83" i="6"/>
  <c r="B83" i="6"/>
  <c r="D42" i="6"/>
  <c r="C42" i="6"/>
  <c r="E42" i="6"/>
  <c r="G42" i="6"/>
  <c r="B42" i="6"/>
  <c r="H42" i="6"/>
  <c r="G50" i="6"/>
  <c r="D50" i="6"/>
  <c r="C50" i="6"/>
  <c r="H50" i="6"/>
  <c r="B50" i="6"/>
  <c r="E50" i="6"/>
  <c r="H26" i="6"/>
  <c r="G26" i="6"/>
  <c r="C26" i="6"/>
  <c r="D26" i="6"/>
  <c r="B26" i="6"/>
  <c r="E26" i="6"/>
  <c r="C63" i="6"/>
  <c r="G63" i="6"/>
  <c r="E63" i="6"/>
  <c r="D63" i="6"/>
  <c r="H63" i="6"/>
  <c r="B63" i="6"/>
  <c r="I82" i="6"/>
  <c r="H82" i="6"/>
  <c r="G82" i="6"/>
  <c r="C82" i="6"/>
  <c r="F82" i="6"/>
  <c r="E82" i="6"/>
  <c r="D82" i="6"/>
  <c r="B82" i="6"/>
  <c r="H38" i="6"/>
  <c r="G38" i="6"/>
  <c r="C38" i="6"/>
  <c r="B38" i="6"/>
  <c r="E38" i="6"/>
  <c r="D38" i="6"/>
  <c r="G65" i="6"/>
  <c r="E65" i="6"/>
  <c r="D65" i="6"/>
  <c r="C65" i="6"/>
  <c r="H65" i="6"/>
  <c r="B65" i="6"/>
  <c r="H70" i="6"/>
  <c r="G70" i="6"/>
  <c r="C70" i="6"/>
  <c r="E70" i="6"/>
  <c r="D70" i="6"/>
  <c r="B70" i="6"/>
  <c r="H95" i="6"/>
  <c r="G95" i="6"/>
  <c r="E95" i="6"/>
  <c r="D95" i="6"/>
  <c r="C95" i="6"/>
  <c r="I95" i="6"/>
  <c r="F95" i="6"/>
  <c r="B95" i="6"/>
  <c r="H49" i="6"/>
  <c r="G49" i="6"/>
  <c r="E49" i="6"/>
  <c r="D49" i="6"/>
  <c r="C49" i="6"/>
  <c r="B49" i="6"/>
  <c r="C57" i="6"/>
  <c r="G57" i="6"/>
  <c r="E57" i="6"/>
  <c r="D57" i="6"/>
  <c r="B57" i="6"/>
  <c r="H57" i="6"/>
  <c r="I94" i="6"/>
  <c r="H94" i="6"/>
  <c r="G94" i="6"/>
  <c r="C94" i="6"/>
  <c r="E94" i="6"/>
  <c r="D94" i="6"/>
  <c r="B94" i="6"/>
  <c r="F94" i="6"/>
  <c r="H41" i="6"/>
  <c r="G41" i="6"/>
  <c r="C41" i="6"/>
  <c r="B41" i="6"/>
  <c r="D41" i="6"/>
  <c r="E41" i="6"/>
  <c r="D87" i="6"/>
  <c r="C87" i="6"/>
  <c r="G87" i="6"/>
  <c r="I87" i="6"/>
  <c r="H87" i="6"/>
  <c r="E87" i="6"/>
  <c r="B87" i="6"/>
  <c r="F87" i="6"/>
  <c r="H14" i="6"/>
  <c r="E14" i="6"/>
  <c r="D14" i="6"/>
  <c r="B14" i="6"/>
  <c r="G14" i="6"/>
  <c r="C14" i="6"/>
  <c r="G71" i="6"/>
  <c r="E71" i="6"/>
  <c r="D71" i="6"/>
  <c r="C71" i="6"/>
  <c r="B71" i="6"/>
  <c r="H71" i="6"/>
  <c r="I88" i="6"/>
  <c r="H88" i="6"/>
  <c r="G88" i="6"/>
  <c r="C88" i="6"/>
  <c r="E88" i="6"/>
  <c r="D88" i="6"/>
  <c r="B88" i="6"/>
  <c r="F88" i="6"/>
  <c r="D8" i="6"/>
  <c r="C8" i="6"/>
  <c r="H8" i="6"/>
  <c r="G8" i="6"/>
  <c r="E8" i="6"/>
  <c r="B8" i="6"/>
  <c r="C81" i="6"/>
  <c r="G81" i="6"/>
  <c r="F81" i="6"/>
  <c r="E81" i="6"/>
  <c r="D81" i="6"/>
  <c r="B81" i="6"/>
  <c r="I81" i="6"/>
  <c r="H81" i="6"/>
  <c r="C75" i="6"/>
  <c r="G75" i="6"/>
  <c r="I75" i="6"/>
  <c r="H75" i="6"/>
  <c r="E75" i="6"/>
  <c r="F75" i="6"/>
  <c r="D75" i="6"/>
  <c r="B75" i="6"/>
  <c r="G34" i="6"/>
  <c r="H34" i="6"/>
  <c r="D34" i="6"/>
  <c r="C34" i="6"/>
  <c r="E34" i="6"/>
  <c r="B34" i="6"/>
  <c r="C84" i="6"/>
  <c r="G84" i="6"/>
  <c r="I84" i="6"/>
  <c r="H84" i="6"/>
  <c r="E84" i="6"/>
  <c r="F84" i="6"/>
  <c r="D84" i="6"/>
  <c r="B84" i="6"/>
  <c r="H101" i="6"/>
  <c r="G101" i="6"/>
  <c r="F101" i="6"/>
  <c r="E101" i="6"/>
  <c r="D101" i="6"/>
  <c r="C101" i="6"/>
  <c r="B101" i="6"/>
  <c r="I101" i="6"/>
  <c r="G43" i="6"/>
  <c r="B43" i="6"/>
  <c r="H43" i="6"/>
  <c r="D43" i="6"/>
  <c r="C43" i="6"/>
  <c r="E43" i="6"/>
  <c r="H32" i="6"/>
  <c r="G32" i="6"/>
  <c r="C32" i="6"/>
  <c r="D32" i="6"/>
  <c r="B32" i="6"/>
  <c r="E32" i="6"/>
  <c r="H61" i="6"/>
  <c r="G61" i="6"/>
  <c r="C61" i="6"/>
  <c r="E61" i="6"/>
  <c r="D61" i="6"/>
  <c r="B61" i="6"/>
  <c r="H86" i="6"/>
  <c r="G86" i="6"/>
  <c r="E86" i="6"/>
  <c r="D86" i="6"/>
  <c r="C86" i="6"/>
  <c r="I86" i="6"/>
  <c r="F86" i="6"/>
  <c r="B86" i="6"/>
  <c r="H7" i="6"/>
  <c r="G7" i="6"/>
  <c r="D7" i="6"/>
  <c r="C7" i="6"/>
  <c r="E7" i="6"/>
  <c r="B7" i="6"/>
  <c r="C54" i="6"/>
  <c r="G54" i="6"/>
  <c r="H54" i="6"/>
  <c r="B54" i="6"/>
  <c r="E54" i="6"/>
  <c r="D54" i="6"/>
  <c r="I97" i="6"/>
  <c r="H97" i="6"/>
  <c r="G97" i="6"/>
  <c r="C97" i="6"/>
  <c r="B97" i="6"/>
  <c r="F97" i="6"/>
  <c r="E97" i="6"/>
  <c r="D97" i="6"/>
  <c r="C78" i="6"/>
  <c r="G78" i="6"/>
  <c r="I78" i="6"/>
  <c r="H78" i="6"/>
  <c r="F78" i="6"/>
  <c r="E78" i="6"/>
  <c r="D78" i="6"/>
  <c r="B78" i="6"/>
  <c r="H58" i="6"/>
  <c r="G58" i="6"/>
  <c r="C58" i="6"/>
  <c r="E58" i="6"/>
  <c r="D58" i="6"/>
  <c r="B58" i="6"/>
  <c r="G40" i="6"/>
  <c r="B40" i="6"/>
  <c r="H40" i="6"/>
  <c r="C40" i="6"/>
  <c r="E40" i="6"/>
  <c r="D40" i="6"/>
  <c r="H73" i="6"/>
  <c r="G73" i="6"/>
  <c r="C73" i="6"/>
  <c r="E73" i="6"/>
  <c r="D73" i="6"/>
  <c r="B73" i="6"/>
  <c r="I79" i="6"/>
  <c r="H79" i="6"/>
  <c r="G79" i="6"/>
  <c r="C79" i="6"/>
  <c r="F79" i="6"/>
  <c r="E79" i="6"/>
  <c r="B79" i="6"/>
  <c r="D79" i="6"/>
  <c r="D27" i="6"/>
  <c r="C27" i="6"/>
  <c r="H27" i="6"/>
  <c r="G27" i="6"/>
  <c r="E27" i="6"/>
  <c r="B27" i="6"/>
  <c r="D11" i="6"/>
  <c r="C11" i="6"/>
  <c r="H11" i="6"/>
  <c r="E11" i="6"/>
  <c r="B11" i="6"/>
  <c r="G11" i="6"/>
  <c r="H55" i="6"/>
  <c r="G55" i="6"/>
  <c r="C55" i="6"/>
  <c r="D55" i="6"/>
  <c r="B55" i="6"/>
  <c r="E55" i="6"/>
  <c r="G68" i="6"/>
  <c r="E68" i="6"/>
  <c r="D68" i="6"/>
  <c r="C68" i="6"/>
  <c r="H68" i="6"/>
  <c r="B68" i="6"/>
  <c r="G59" i="6"/>
  <c r="D59" i="6"/>
  <c r="C59" i="6"/>
  <c r="H59" i="6"/>
  <c r="B59" i="6"/>
  <c r="E59" i="6"/>
  <c r="G31" i="6"/>
  <c r="H31" i="6"/>
  <c r="D31" i="6"/>
  <c r="C31" i="6"/>
  <c r="E31" i="6"/>
  <c r="B31" i="6"/>
  <c r="D102" i="6"/>
  <c r="C102" i="6"/>
  <c r="B102" i="6"/>
  <c r="G102" i="6"/>
  <c r="F102" i="6"/>
  <c r="I102" i="6"/>
  <c r="H102" i="6"/>
  <c r="E102" i="6"/>
  <c r="H16" i="6"/>
  <c r="E16" i="6"/>
  <c r="B16" i="6"/>
  <c r="G16" i="6"/>
  <c r="D16" i="6"/>
  <c r="C16" i="6"/>
  <c r="I70" i="6" l="1"/>
  <c r="F69" i="6"/>
  <c r="F17" i="6"/>
  <c r="F27" i="6"/>
  <c r="I27" i="6"/>
  <c r="I9" i="6"/>
  <c r="F22" i="6"/>
  <c r="F71" i="6"/>
  <c r="I40" i="6"/>
  <c r="F8" i="6"/>
  <c r="F59" i="6"/>
  <c r="I39" i="6"/>
  <c r="I35" i="6"/>
  <c r="I46" i="6"/>
  <c r="I51" i="6"/>
  <c r="I23" i="6"/>
  <c r="I34" i="6"/>
  <c r="F15" i="6"/>
  <c r="I15" i="6"/>
  <c r="F49" i="6"/>
  <c r="F52" i="6"/>
  <c r="F41" i="6"/>
  <c r="F47" i="6"/>
  <c r="I62" i="6"/>
  <c r="I58" i="6"/>
  <c r="I8" i="6"/>
  <c r="I60" i="6"/>
  <c r="I45" i="6"/>
  <c r="I33" i="6"/>
  <c r="I69" i="6"/>
  <c r="I57" i="6"/>
  <c r="I44" i="6"/>
  <c r="F68" i="6"/>
  <c r="F57" i="6"/>
  <c r="F51" i="6"/>
  <c r="F46" i="6"/>
  <c r="I43" i="6"/>
  <c r="F28" i="6"/>
  <c r="F11" i="6"/>
  <c r="F72" i="6"/>
  <c r="F36" i="6"/>
  <c r="F54" i="6"/>
  <c r="F38" i="6"/>
  <c r="I64" i="6"/>
  <c r="F24" i="6"/>
  <c r="I28" i="6"/>
  <c r="F30" i="6"/>
  <c r="F31" i="6"/>
  <c r="I11" i="6"/>
  <c r="I52" i="6"/>
  <c r="I13" i="6"/>
  <c r="F39" i="6"/>
  <c r="F67" i="6"/>
  <c r="F48" i="6"/>
  <c r="I66" i="6"/>
  <c r="I36" i="6"/>
  <c r="F20" i="6"/>
  <c r="I48" i="6"/>
  <c r="F32" i="6"/>
  <c r="F42" i="6"/>
  <c r="F18" i="6"/>
  <c r="F73" i="6"/>
  <c r="I54" i="6"/>
  <c r="I26" i="6"/>
  <c r="F25" i="6"/>
  <c r="I18" i="6"/>
  <c r="F29" i="6"/>
  <c r="F19" i="6"/>
  <c r="F14" i="6"/>
  <c r="I49" i="6"/>
  <c r="F50" i="6"/>
  <c r="F37" i="6"/>
  <c r="F7" i="6"/>
  <c r="I25" i="6"/>
  <c r="F56" i="6"/>
  <c r="I17" i="6"/>
  <c r="F43" i="6"/>
  <c r="F34" i="6"/>
  <c r="I38" i="6"/>
  <c r="F63" i="6"/>
  <c r="F62" i="6"/>
  <c r="I29" i="6"/>
  <c r="I56" i="6"/>
  <c r="I74" i="6"/>
  <c r="I30" i="6"/>
  <c r="I24" i="6"/>
  <c r="F70" i="6"/>
  <c r="F55" i="6"/>
  <c r="I7" i="6"/>
  <c r="F61" i="6"/>
  <c r="I41" i="6"/>
  <c r="I47" i="6"/>
  <c r="I59" i="6"/>
  <c r="I55" i="6"/>
  <c r="I61" i="6"/>
  <c r="F64" i="6"/>
  <c r="I19" i="6"/>
  <c r="I71" i="6"/>
  <c r="I63" i="6"/>
  <c r="F21" i="6"/>
  <c r="F60" i="6"/>
  <c r="F45" i="6"/>
  <c r="I72" i="6"/>
  <c r="F53" i="6"/>
  <c r="I68" i="6"/>
  <c r="I73" i="6"/>
  <c r="I14" i="6"/>
  <c r="I50" i="6"/>
  <c r="F13" i="6"/>
  <c r="F66" i="6"/>
  <c r="F58" i="6"/>
  <c r="F65" i="6"/>
  <c r="I42" i="6"/>
  <c r="I37" i="6"/>
  <c r="I21" i="6"/>
  <c r="F74" i="6"/>
  <c r="F44" i="6"/>
  <c r="F35" i="6"/>
  <c r="I53" i="6"/>
  <c r="F16" i="6"/>
  <c r="I16" i="6"/>
  <c r="I31" i="6"/>
  <c r="F40" i="6"/>
  <c r="I32" i="6"/>
  <c r="I65" i="6"/>
  <c r="F26" i="6"/>
  <c r="I67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C2" authorId="0" shapeId="0" xr:uid="{00000000-0006-0000-0100-000001000000}">
      <text>
        <r>
          <rPr>
            <sz val="10"/>
            <rFont val="Arial"/>
            <family val="2"/>
          </rPr>
          <t>Pakeisk šiuos metus (pvz. 2027 kitais metais) — visa lentelė (B-2, B-1, B0, R, Vieta) automatiškai persiskaičiuos pagal LSF metodiką.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D1" authorId="0" shapeId="0" xr:uid="{00000000-0006-0000-0200-000001000000}">
      <text>
        <r>
          <rPr>
            <sz val="10"/>
            <rFont val="Arial"/>
            <family val="2"/>
          </rPr>
          <t>Tipas — penki galimi variantai:
"LSF čempionatas" — normalus rezultatas, pildomas stulpelis "Taškai".
"Kitos varžybos, deklaruotos reitingui" — pilotas tais metais LSF čempionate NEDALYVAVO, rezultatas pakeičiamas kitos varžybos PRS/CRS santykiu (pildomi PRS, CRS, Daugiklis).
"Susikertančios su Lietuvos čempionatu" — pilotas NEDALYVAVO čempionate, nes jis SUTAPO su kita (deklaruota) varžyba. Šiuo atveju automatiškai perimama 95% piloto Dalies iš PRAĖJUSIŲ metų (naujų PRS/CRS pildyti nereikia).
"Papildomi (R+)" — pilotas PAPILDOMAI (be čempionato) dalyvavo kitoje varžyboje ir surinko PRS&gt;900. Pridedama NAUJA eilutė TAM PAČIAM pilotui/metams su varžybos pavadinimu.
"Kita" — laisva pastaba, į skaičiavimą NEĮTAKOJA (Dalis = 0).
Vienas pilotas tais pačiais metais gali turėti kelias eilutes — visos susumuojamos automatiškai lape "Reitingai".</t>
        </r>
      </text>
    </comment>
    <comment ref="F1" authorId="0" shapeId="0" xr:uid="{00000000-0006-0000-0200-000002000000}">
      <text>
        <r>
          <rPr>
            <sz val="10"/>
            <rFont val="Arial"/>
            <family val="2"/>
          </rPr>
          <t>PRS = piloto surinkti taškai kitose (ne LSF) varžybose. Naudojama, kai Tipas = "Išimtis" arba "Papildomi (R+)".</t>
        </r>
      </text>
    </comment>
    <comment ref="G1" authorId="0" shapeId="0" xr:uid="{00000000-0006-0000-0200-000003000000}">
      <text>
        <r>
          <rPr>
            <sz val="10"/>
            <rFont val="Arial"/>
            <family val="2"/>
          </rPr>
          <t>CRS = tos varžybos maksimalus / atskaitos taškų skaičius. Naudojama TIK kai Tipas = "Išimtis".</t>
        </r>
      </text>
    </comment>
    <comment ref="H1" authorId="0" shapeId="0" xr:uid="{00000000-0006-0000-0200-000004000000}">
      <text>
        <r>
          <rPr>
            <sz val="10"/>
            <rFont val="Arial"/>
            <family val="2"/>
          </rPr>
          <t>Daugiklis — retoms išimtims (pvz. varžybos sutampa su čempionatu -&gt; x0.95 pagal taisyklių 7 p.). Naudojama TIK kai Tipas = "Išimtis". Įprastai = 1.</t>
        </r>
      </text>
    </comment>
    <comment ref="J1" authorId="0" shapeId="0" xr:uid="{00000000-0006-0000-0200-000005000000}">
      <text>
        <r>
          <rPr>
            <sz val="10"/>
            <rFont val="Arial"/>
            <family val="2"/>
          </rPr>
          <t>Dalis skaičiuojama automatiškai pagal Tipą — šio stulpelio rankiniu būdu keisti NEREIKIA.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" authorId="0" shapeId="0" xr:uid="{00000000-0006-0000-0300-000001000000}">
      <text>
        <r>
          <rPr>
            <sz val="10"/>
            <rFont val="Arial"/>
            <family val="2"/>
          </rPr>
          <t>Pmax = LSF čempionato nugalėtojo taškai tais metais. Skaičiuojama automatiškai (MAXIFS iš "Rezultatai"). Jei reikia išimties — perrašyk skaičių ranka.</t>
        </r>
      </text>
    </comment>
    <comment ref="C1" authorId="0" shapeId="0" xr:uid="{00000000-0006-0000-0300-000002000000}">
      <text>
        <r>
          <rPr>
            <sz val="10"/>
            <rFont val="Arial"/>
            <family val="2"/>
          </rPr>
          <t>Nn = dalyvių skaičius LSF čempionate tais metais. Skaičiuojama automatiškai (COUNTIFS iš "Rezultatai"). Jei reikia išimties — perrašyk skaičių ranka.</t>
        </r>
      </text>
    </comment>
    <comment ref="D1" authorId="0" shapeId="0" xr:uid="{00000000-0006-0000-0300-000003000000}">
      <text>
        <r>
          <rPr>
            <sz val="10"/>
            <rFont val="Arial"/>
            <family val="2"/>
          </rPr>
          <t>Pn = varžybų (skraidymo) dienų / pratimų skaičius. To automatiškai apskaičiuoti neįmanoma — įvesk ranka kiekvienais metais.</t>
        </r>
      </text>
    </comment>
    <comment ref="F1" authorId="0" shapeId="0" xr:uid="{00000000-0006-0000-0300-000004000000}">
      <text>
        <r>
          <rPr>
            <sz val="10"/>
            <rFont val="Arial"/>
            <family val="2"/>
          </rPr>
          <t>Retai naudojamas laukas. Užpildyk TIK jei žinai, kiek taškų (pagal IGC pasaulio reitingo sistemą) tais metais būtų gavęs LSF čempionato nugalėtojas (paprastai ~950-980). Kai "Rezultatai" lape įvedi "Kitos varžybos, deklaruotos reitingui" eilutę, formulė automatiškai naudoja DIDESNĮ iš dviejų dydžių — įvestą CRS arba šią reikšmę — kaip vardiklį. Taip pilotas, deklaravęs varžybas su MAŽESNIU CRS už LSF čempionatą, negaus dirbtinio pranašumo. Jei nežinai — palik tuščią (0), skaičiavimas nesikeičia.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Unknown Author</author>
  </authors>
  <commentList>
    <comment ref="B1" authorId="0" shapeId="0" xr:uid="{00000000-0006-0000-0400-000001000000}">
      <text>
        <r>
          <rPr>
            <sz val="10"/>
            <rFont val="Arial"/>
            <family val="2"/>
          </rPr>
          <t>Visų pilotų, kurie bent kartą dalyvavo, sąrašas. Kai atsiranda visiškai naujas pilotas, kurio čia nėra — įrašyk jį pirmoje laisvoje eilutėje (Pilotas, Klubas). Lape "Reitingai" jam eilutė su formulėmis jau paruošta.</t>
        </r>
      </text>
    </comment>
  </commentList>
</comments>
</file>

<file path=xl/sharedStrings.xml><?xml version="1.0" encoding="utf-8"?>
<sst xmlns="http://schemas.openxmlformats.org/spreadsheetml/2006/main" count="1573" uniqueCount="166">
  <si>
    <t>LSF Sportinės klasės reitingų sistema</t>
  </si>
  <si>
    <t>Kaip naudotis šiuo failu</t>
  </si>
  <si>
    <t>1. Kai baigiasi metų čempionatas, lape "Rezultatai" apačioje (po paskutinės užpildytos eilutės) priklijuok naujų metų dalyvių sąrašą: Metai, Pilotas, Klubas, Tipas = "LSF čempionatas", Taškai (dalyvio surinkti taškai). "Dalis" stulpelis susiskaičiuoja pats.</t>
  </si>
  <si>
    <t>2. Jei pilotas tais metais LSF čempionate NEDALYVAVO, bet jo rezultatą reikia įskaityti iš kitų varžybų: įrašyk eilutę su Tipas = "Kitos varžybos, deklaruotos reitingui", užpildyk PRS ir CRS. Jei pilotas nedalyvavo čempionate, nes jis SUTAPO su kitomis deklaruotomis varžybomis — naudok Tipas = "Susikertančios su Lietuvos čempionatu" (automatiškai perima 95% jo Dalies iš praėjusių metų). Jei pilotas PAPILDOMAI (be čempionato) dalyvavo kitose varžybose ir nusipelnė papildomų taškų (PRS&gt;900) — pridėk ATSKIRĄ eilutę su Tipas = "Papildomi (R+)". Tipas = "Kita" — laisva pastaba, į skaičiavimą neįtakoja. Vienas pilotas tais pačiais metais gali turėti kelias eilutes — visos susumuojamos automatiškai.</t>
  </si>
  <si>
    <t>3. Lape "Parametrai" patikrink naujų metų eilutę: Pmax ir Nn susiskaičiuoja automatiškai iš "Rezultatai" lapo. Pn (skraidymo/pratimų dienų skaičius) reikia įvesti ranka — jo automatiškai apskaičiuoti neįmanoma. Jei kuriems metams reikia rankinės išimties (pvz. Pmax turi būti kitas dėl kokių priežasčių) — tiesiog šiame langelyje perrašyk skaičių ranka (formulė bus pakeista tavo įvesta reikšme).</t>
  </si>
  <si>
    <t>4. Jei atsiranda visiškai naujas pilotas, kurio nėra lape "Pilotai" — įrašyk jį naujoje eilutėje (Pilotas, Klubas). Failo apačioje palikta tuščių eilučių tam skirta — jos jau turi paruoštas formules lape "Reitingai".</t>
  </si>
  <si>
    <t>5. Lape "Reitingai" viršuje (langelis C2) pasirink einamus (skaičiuojamus) metus, pvz. 2026. Visa lentelė (B-2, B-1, B0, R, Vieta) automatiškai persiskaičiuoja pagal LSF metodiką.</t>
  </si>
  <si>
    <t>Pastaba: skaičiavimai visada susieja rezultatus su pilotu pagal VARDĄ/PAVARDĘ, o ne klubą — jei pilotas pakeičia klubą, jo reitingas skaičiuojasi toliau nenutrūkstamai. Klubas lape "Reitingai" tik rodomas informaciniais tikslais (iš lapo "Pilotai") ir skaičiavimuose nenaudojamas.</t>
  </si>
  <si>
    <t>Spalvų reikšmės</t>
  </si>
  <si>
    <t>Mėlynas tekstas — langeliai, kuriuos pildai/keiti ranka (įvestis).</t>
  </si>
  <si>
    <t>Juodas tekstas — formulės; nekeisti, jei nereikia specifinės išimties.</t>
  </si>
  <si>
    <t>Geltonas fonas — svarbiausias valdymo langelis (einami skaičiavimo metai).</t>
  </si>
  <si>
    <t>Skaičiavimo metodika (trumpai)</t>
  </si>
  <si>
    <t>Kiekvienais metais Y skaičiuojami trys komponentai: B0 (metai Y), B-1 (metai Y-1) ir B-2 (metai Y-2). Galutinis reitingas R = dviejų didžiausių iš {B0, B-1, B-2} suma (= SUM - MIN iš trijų).</t>
  </si>
  <si>
    <t>Bn = Dalis * Kn + R+</t>
  </si>
  <si>
    <t>Dalis (normaliu atveju) = Taškai / Pmax(tų metų) * Fn(tų metų), kur Fn = MIN(1, Nn/10) * MIN(1, Pn/4)</t>
  </si>
  <si>
    <t>Dalis ("Kitos varžybos, deklaruotos reitingui") = PRS / CRS * Daugiklis (Daugiklis įprastai = 1)</t>
  </si>
  <si>
    <t>Papildomi taškai (R+): jei pilotas TAIS PAČIAIS metais papildomai (be LSF čempionato) dalyvavo kitose varžybose ir surinko PRS&gt;900 — lape "Rezultatai" tam pačiam pilotui/metams pridedama NAUJA eilutė su Tipas="Papildomi (R+)", PRS reikšme ir varžybų pavadinimu stulpelyje "Varžybos" (kad matytųsi, iš kur taškai atėjo). Visos to piloto/metų eilutės (LSF čempionatas + Papildomi) susumuojamos automatiškai lape "Reitingai", ir R+ dalis (PRS-900)/1000 sensta su tų pačių metų K koeficientu lygiai kaip pagrindinis rezultatas.</t>
  </si>
  <si>
    <t>Dalis ("Susikertančios su Lietuvos čempionatu") = 0.95 * (šio piloto Dalis praėjusiais metais). Naudojama, kai pilotas negalėjo dalyvauti čempionate, nes jis sutapo Europos ar Pasaulio čempionatu — jo reitingas tiesiog nekrenta į nulį, o "sensta" 5% greičiau.</t>
  </si>
  <si>
    <t>K0 = MIN(550, 450 + (1/35)*(Pmax-2500))   [einamiems metams]</t>
  </si>
  <si>
    <t>K-1 = MIN(450, 400 + (1/70)*(Pmax-2500))  [praeitiems metams]</t>
  </si>
  <si>
    <t>K-2 = MIN(425, 375 + (1/70)*(Pmax-2500))  [užpraeitiems metams]</t>
  </si>
  <si>
    <t>Pmax visada imamas TŲ KONKREČIŲ metų, kurių komponentą skaičiuojame</t>
  </si>
  <si>
    <t>Istoriniai duomenys</t>
  </si>
  <si>
    <t>Lapas "Istorija (archyvas)" — tai statiniai (nebekintantys) 2016-2025 m. reitingų rezultatai, perkelti iš seno failo "LSF-reitingai-2026-Final-0913.xlsx", tik peržiūrai/palyginimui. Naujuose skaičiavimuose jie NEBENAUDOJAMI — nuo 2017 m. tikri (Taškai/Pmax/Nn/Pn) duomenys jau perkelti į lapą "Rezultatai" ir toliau skaičiuojami automatiškai.</t>
  </si>
  <si>
    <t>Pokytis lyginant su praėjusiais metais</t>
  </si>
  <si>
    <t>Lapas "Pokytis" rodo, kiek kiekvienas pilotas pakilo/pakrito vietomis ir kiek daugiau/mažiau R taškų turi nei praėjusiais metais (ta pati metodika, pastumta vieneriais metais atgal). Lentelė automatiškai išrikiuota pagal šių metų vietą ir NEPRIKLAUSO nuo to, kaip išrikiuotas lapas "Reitingai". Teigiamas "Vietų pokytis" = pakilo, teigiamas "R pokytis" = R taškų daugiau. Pagalbiniai stulpeliai K:Q sugrupuoti ir paslėpti (spausk + virš stulpelių, jei reikia pamatyti).</t>
  </si>
  <si>
    <t>LSF Sportinės klasės reitingai</t>
  </si>
  <si>
    <t>Einami metai:</t>
  </si>
  <si>
    <t>Rikiuoti pagal:</t>
  </si>
  <si>
    <t>Vieta</t>
  </si>
  <si>
    <t>Pagalbiniai skaičiavimai (pagal Pilotai eilės tvarką) — nekeisti</t>
  </si>
  <si>
    <t>Nr</t>
  </si>
  <si>
    <t>Pilotas</t>
  </si>
  <si>
    <t>Klubas</t>
  </si>
  <si>
    <t>B-2</t>
  </si>
  <si>
    <t>B-1</t>
  </si>
  <si>
    <t>B0</t>
  </si>
  <si>
    <t>R</t>
  </si>
  <si>
    <t>Eilės raktas</t>
  </si>
  <si>
    <t>Metai</t>
  </si>
  <si>
    <t>Tipas</t>
  </si>
  <si>
    <t>Taškai (Pdal)</t>
  </si>
  <si>
    <t>PRS</t>
  </si>
  <si>
    <t>CRS</t>
  </si>
  <si>
    <t>Daugiklis</t>
  </si>
  <si>
    <t>Varžybos / Pastabos</t>
  </si>
  <si>
    <t>Dalis</t>
  </si>
  <si>
    <t>Adomas Grabskis</t>
  </si>
  <si>
    <t>Vilnius</t>
  </si>
  <si>
    <t>LSF čempionatas</t>
  </si>
  <si>
    <t>Lietuvos čempionatas</t>
  </si>
  <si>
    <t>Algimantas Jonušas</t>
  </si>
  <si>
    <t>Kaunas</t>
  </si>
  <si>
    <t>Andrius Tamulėnas</t>
  </si>
  <si>
    <t>Artūras Klimašauskas</t>
  </si>
  <si>
    <t>Aeroklubas Vertikalė</t>
  </si>
  <si>
    <t>Darius Liaugaudas</t>
  </si>
  <si>
    <t>Gintaras Drevinskas</t>
  </si>
  <si>
    <t>Biržai</t>
  </si>
  <si>
    <t>Gintautas Butnoris</t>
  </si>
  <si>
    <t>Panevėžys</t>
  </si>
  <si>
    <t>Gvidas Sabeckis</t>
  </si>
  <si>
    <t>Ignas Bitinaitis</t>
  </si>
  <si>
    <t>Joris Vainius</t>
  </si>
  <si>
    <t>Kęstutis Miliūnas</t>
  </si>
  <si>
    <t>Martynas Bykovas</t>
  </si>
  <si>
    <t>Mindaugas Žaliukas</t>
  </si>
  <si>
    <t>Ringaudas Kikalas</t>
  </si>
  <si>
    <t>Klaipėda</t>
  </si>
  <si>
    <t>Romualdas Knėpa</t>
  </si>
  <si>
    <t>Romualdas Konteikis</t>
  </si>
  <si>
    <t>Vladas Motūza</t>
  </si>
  <si>
    <t>Vytautas Mačiulis</t>
  </si>
  <si>
    <t>Vytautas Paulauskas</t>
  </si>
  <si>
    <t>Vytautas Sabeckis</t>
  </si>
  <si>
    <t>Algirdas Šimoliunas</t>
  </si>
  <si>
    <t>Igor Volkov</t>
  </si>
  <si>
    <t>Linas Miežlaiškis</t>
  </si>
  <si>
    <t>Ričardas Jurkus</t>
  </si>
  <si>
    <t>Stasys Skalskis</t>
  </si>
  <si>
    <t>Darius Gudžiūnas</t>
  </si>
  <si>
    <t>Laurynas Šupinys</t>
  </si>
  <si>
    <t>Viktoras Kukčikaitis</t>
  </si>
  <si>
    <t>Šarunas Stanevičius</t>
  </si>
  <si>
    <t>Antanas Marčiukaitis</t>
  </si>
  <si>
    <t>Marius Pluščauskas</t>
  </si>
  <si>
    <t>Martynas Sližys</t>
  </si>
  <si>
    <t>Sakalas Uždavinys</t>
  </si>
  <si>
    <t>Titas Jovaiša</t>
  </si>
  <si>
    <t>Tomas Kuzmickas</t>
  </si>
  <si>
    <t>Artūras Pilvinis</t>
  </si>
  <si>
    <t>Telšė</t>
  </si>
  <si>
    <t>Kęstutis Jurkštas</t>
  </si>
  <si>
    <t>Jokūbas Motūza</t>
  </si>
  <si>
    <t>Aidas Kasputis</t>
  </si>
  <si>
    <t>Šiauliai</t>
  </si>
  <si>
    <t>Ainis Bagdonas</t>
  </si>
  <si>
    <t>Telšiai</t>
  </si>
  <si>
    <t>Papildomi (R+)</t>
  </si>
  <si>
    <t>Žemaitijos taurė 2023</t>
  </si>
  <si>
    <t>Donatas Povilionis</t>
  </si>
  <si>
    <t>Gintas Zubė</t>
  </si>
  <si>
    <t>Karolis Mikalauskas</t>
  </si>
  <si>
    <t>Pribina Cup</t>
  </si>
  <si>
    <t>Voldemars Gavars</t>
  </si>
  <si>
    <t>Latvija</t>
  </si>
  <si>
    <t>Aleksandras Bateika</t>
  </si>
  <si>
    <t>Edita Skalskienė</t>
  </si>
  <si>
    <t>WGC Uvalde</t>
  </si>
  <si>
    <t>Kitos varžybos, deklaruotos reitingui</t>
  </si>
  <si>
    <t>Polish Nationals 15m</t>
  </si>
  <si>
    <t>EGC Tabor</t>
  </si>
  <si>
    <t>Vytautas Rasimavičius</t>
  </si>
  <si>
    <t>EGC / WGC 18m Hungary 2025</t>
  </si>
  <si>
    <t>WGC 18m Hungary</t>
  </si>
  <si>
    <t>Kauno AASK</t>
  </si>
  <si>
    <t>Vilniaus aeroklubas</t>
  </si>
  <si>
    <t>Pamario sklandytojų klubas</t>
  </si>
  <si>
    <t>EGC 2026 Ostrow 15m</t>
  </si>
  <si>
    <t>Pmax</t>
  </si>
  <si>
    <t>Nn</t>
  </si>
  <si>
    <t>Pn</t>
  </si>
  <si>
    <t>Fn</t>
  </si>
  <si>
    <t>LT čempionato IGC vertė (jei žinoma)</t>
  </si>
  <si>
    <t>Klubas (paskutinis žinomas)</t>
  </si>
  <si>
    <t>Vilniaus Aeroklubas</t>
  </si>
  <si>
    <t>Biržų Aeroklubas</t>
  </si>
  <si>
    <t>Pamario Sklandytojų Klubas</t>
  </si>
  <si>
    <t>Algimantas Miklasevicius</t>
  </si>
  <si>
    <t>Andrej Lebedev</t>
  </si>
  <si>
    <t>Andrius Masiulis</t>
  </si>
  <si>
    <t>Artiom Maslov</t>
  </si>
  <si>
    <t>Audrius Artiškevicius</t>
  </si>
  <si>
    <t>Benvenutas Ivanauskas</t>
  </si>
  <si>
    <t>Darius Šarkiunas</t>
  </si>
  <si>
    <t>Domas Juknevičius</t>
  </si>
  <si>
    <t>Donatas Vaičiulis</t>
  </si>
  <si>
    <t>Jurgis Kazlauskas</t>
  </si>
  <si>
    <t>Linas Zubė</t>
  </si>
  <si>
    <t>Mantas Binkis</t>
  </si>
  <si>
    <t>Marius Sargevičius</t>
  </si>
  <si>
    <t>Martynas Liutkevicius</t>
  </si>
  <si>
    <t>Mindaugas Milasauskas</t>
  </si>
  <si>
    <t>Robertas Venckus</t>
  </si>
  <si>
    <t>Rokas Jonaitis</t>
  </si>
  <si>
    <t>Rokas Liaugaudas</t>
  </si>
  <si>
    <t>Šarunas Šulekas</t>
  </si>
  <si>
    <t>Simonas Kuprys</t>
  </si>
  <si>
    <t>Vaidas Pileičikas</t>
  </si>
  <si>
    <t>Vidas Berzinskas</t>
  </si>
  <si>
    <t>Vieta (šie)</t>
  </si>
  <si>
    <t>Vieta (praeiti)</t>
  </si>
  <si>
    <t>Vietų pokytis</t>
  </si>
  <si>
    <t>R (šie)</t>
  </si>
  <si>
    <t>R (praeiti)</t>
  </si>
  <si>
    <t>R pokytis</t>
  </si>
  <si>
    <t>Istoriniai reitingai 2016-2025 (statiniai duomenys, perkelti iš seno failo)</t>
  </si>
  <si>
    <t>Šie skaičiai NEBENAUDOJAMI naujuose skaičiavimuose — tik peržiūrai/palyginimui. Nuo 2017 m. realūs (Taškai/Pmax/Nn/Pn) duomenys yra lape "Rezultatai" ir skaičiuojami automatiškai.</t>
  </si>
  <si>
    <t>R (senas skaičiavimas)</t>
  </si>
  <si>
    <t>Andrius Tamulenas</t>
  </si>
  <si>
    <t>Darius Gudžiunas</t>
  </si>
  <si>
    <t>Linas Miežlaiskis</t>
  </si>
  <si>
    <t>Susikertančios su Lietuvos čempionatu</t>
  </si>
  <si>
    <t>Kita</t>
  </si>
  <si>
    <t>Palyginimas: Reitingai lape pasirinkti metai (Reitingai!C2) prieš praėjusius metus, ta pati metodika.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</si>
</sst>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00"/>
    <numFmt numFmtId="166" formatCode="\+0.00;\-0.00;0.00"/>
  </numFmts>
  <fonts count="18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4"/>
      <color rgb="FF305496"/>
      <name val="Arial"/>
      <family val="2"/>
      <charset val="1"/>
    </font>
    <font>
      <b/>
      <sz val="1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b/>
      <sz val="12"/>
      <color rgb="FF0000FF"/>
      <name val="Arial"/>
      <family val="2"/>
      <charset val="1"/>
    </font>
    <font>
      <b/>
      <sz val="10"/>
      <name val="Arial"/>
      <family val="2"/>
    </font>
    <font>
      <b/>
      <sz val="11"/>
      <color rgb="FF0000FF"/>
      <name val="Arial"/>
      <family val="2"/>
    </font>
    <font>
      <i/>
      <sz val="9"/>
      <name val="Arial"/>
      <family val="2"/>
      <charset val="1"/>
    </font>
    <font>
      <i/>
      <sz val="9"/>
      <color rgb="FF808080"/>
      <name val="Arial"/>
      <family val="2"/>
    </font>
    <font>
      <b/>
      <sz val="10"/>
      <color rgb="FFFFFFFF"/>
      <name val="Arial"/>
      <family val="2"/>
      <charset val="1"/>
    </font>
    <font>
      <sz val="9"/>
      <color rgb="FF808080"/>
      <name val="Arial"/>
      <family val="2"/>
    </font>
    <font>
      <sz val="10"/>
      <color rgb="FF0000FF"/>
      <name val="Arial"/>
      <family val="2"/>
      <charset val="1"/>
    </font>
    <font>
      <i/>
      <sz val="9"/>
      <color rgb="FF808080"/>
      <name val="Arial"/>
      <family val="2"/>
      <charset val="1"/>
    </font>
    <font>
      <b/>
      <i/>
      <sz val="11"/>
      <color theme="1"/>
      <name val="Calibri"/>
      <family val="2"/>
      <charset val="1"/>
    </font>
    <font>
      <i/>
      <sz val="9"/>
      <name val="Arial"/>
      <family val="2"/>
    </font>
    <font>
      <b/>
      <sz val="14"/>
      <color rgb="FF808080"/>
      <name val="Arial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305496"/>
        <bgColor rgb="FF666699"/>
      </patternFill>
    </fill>
    <fill>
      <patternFill patternType="solid">
        <fgColor rgb="FF808080"/>
        <bgColor rgb="FF969696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/>
    <xf numFmtId="0" fontId="6" fillId="2" borderId="1" xfId="0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right"/>
    </xf>
    <xf numFmtId="0" fontId="8" fillId="2" borderId="1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11" fillId="3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4" fillId="0" borderId="1" xfId="0" applyFont="1" applyBorder="1"/>
    <xf numFmtId="2" fontId="4" fillId="0" borderId="1" xfId="0" applyNumberFormat="1" applyFont="1" applyBorder="1"/>
    <xf numFmtId="2" fontId="3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12" fillId="0" borderId="1" xfId="0" applyFont="1" applyBorder="1"/>
    <xf numFmtId="2" fontId="12" fillId="0" borderId="1" xfId="0" applyNumberFormat="1" applyFont="1" applyBorder="1"/>
    <xf numFmtId="0" fontId="4" fillId="5" borderId="1" xfId="0" applyFont="1" applyFill="1" applyBorder="1"/>
    <xf numFmtId="2" fontId="3" fillId="5" borderId="1" xfId="0" applyNumberFormat="1" applyFont="1" applyFill="1" applyBorder="1"/>
    <xf numFmtId="0" fontId="4" fillId="5" borderId="1" xfId="0" applyFont="1" applyFill="1" applyBorder="1" applyAlignment="1">
      <alignment horizontal="center" vertical="center"/>
    </xf>
    <xf numFmtId="0" fontId="13" fillId="0" borderId="0" xfId="0" applyFont="1"/>
    <xf numFmtId="164" fontId="4" fillId="0" borderId="0" xfId="0" applyNumberFormat="1" applyFont="1"/>
    <xf numFmtId="0" fontId="13" fillId="0" borderId="1" xfId="0" applyFont="1" applyBorder="1"/>
    <xf numFmtId="165" fontId="4" fillId="0" borderId="1" xfId="0" applyNumberFormat="1" applyFont="1" applyBorder="1"/>
    <xf numFmtId="0" fontId="13" fillId="2" borderId="1" xfId="0" applyFont="1" applyFill="1" applyBorder="1"/>
    <xf numFmtId="0" fontId="0" fillId="5" borderId="1" xfId="0" applyFill="1" applyBorder="1"/>
    <xf numFmtId="0" fontId="15" fillId="0" borderId="0" xfId="0" applyFont="1"/>
    <xf numFmtId="0" fontId="1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66" fontId="3" fillId="0" borderId="1" xfId="0" applyNumberFormat="1" applyFont="1" applyBorder="1"/>
    <xf numFmtId="0" fontId="4" fillId="0" borderId="0" xfId="0" applyFont="1"/>
    <xf numFmtId="0" fontId="2" fillId="0" borderId="0" xfId="0" applyFont="1"/>
    <xf numFmtId="0" fontId="14" fillId="0" borderId="0" xfId="0" applyFont="1"/>
    <xf numFmtId="0" fontId="17" fillId="0" borderId="0" xfId="0" applyFont="1"/>
  </cellXfs>
  <cellStyles count="1">
    <cellStyle name="Normal" xfId="0" builtinId="0"/>
  </cellStyles>
  <dxfs count="4">
    <dxf>
      <font>
        <color rgb="FF9BBB59"/>
      </font>
    </dxf>
    <dxf>
      <font>
        <color rgb="FFFF0000"/>
      </font>
    </dxf>
    <dxf>
      <font>
        <color rgb="FF9BBB59"/>
      </font>
    </dxf>
    <dxf>
      <font>
        <color rgb="FFFF0000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DDD"/>
      <rgbColor rgb="FFFF99CC"/>
      <rgbColor rgb="FFCC99FF"/>
      <rgbColor rgb="FFFFCC99"/>
      <rgbColor rgb="FF3366FF"/>
      <rgbColor rgb="FF33CCCC"/>
      <rgbColor rgb="FF9BBB59"/>
      <rgbColor rgb="FFFFC0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32"/>
  <sheetViews>
    <sheetView showGridLines="0" zoomScaleNormal="100" workbookViewId="0">
      <selection activeCell="B6" sqref="B6"/>
    </sheetView>
  </sheetViews>
  <sheetFormatPr defaultColWidth="8.6640625" defaultRowHeight="14.4" x14ac:dyDescent="0.3"/>
  <cols>
    <col min="1" max="1" width="3" customWidth="1"/>
    <col min="2" max="2" width="100" customWidth="1"/>
  </cols>
  <sheetData>
    <row r="1" spans="2:2" ht="17.25" customHeight="1" x14ac:dyDescent="0.3">
      <c r="B1" s="1" t="s">
        <v>0</v>
      </c>
    </row>
    <row r="3" spans="2:2" ht="18" customHeight="1" x14ac:dyDescent="0.3">
      <c r="B3" s="2" t="s">
        <v>1</v>
      </c>
    </row>
    <row r="4" spans="2:2" ht="42" customHeight="1" x14ac:dyDescent="0.3">
      <c r="B4" s="3" t="s">
        <v>2</v>
      </c>
    </row>
    <row r="5" spans="2:2" ht="87.75" customHeight="1" x14ac:dyDescent="0.3">
      <c r="B5" s="4" t="s">
        <v>3</v>
      </c>
    </row>
    <row r="6" spans="2:2" ht="50.25" customHeight="1" x14ac:dyDescent="0.3">
      <c r="B6" s="3" t="s">
        <v>4</v>
      </c>
    </row>
    <row r="7" spans="2:2" ht="47.25" customHeight="1" x14ac:dyDescent="0.3">
      <c r="B7" s="3" t="s">
        <v>5</v>
      </c>
    </row>
    <row r="8" spans="2:2" ht="33.75" customHeight="1" x14ac:dyDescent="0.3">
      <c r="B8" s="3" t="s">
        <v>6</v>
      </c>
    </row>
    <row r="9" spans="2:2" ht="48" customHeight="1" x14ac:dyDescent="0.3">
      <c r="B9" s="4" t="s">
        <v>7</v>
      </c>
    </row>
    <row r="10" spans="2:2" ht="18" customHeight="1" x14ac:dyDescent="0.3">
      <c r="B10" s="3"/>
    </row>
    <row r="11" spans="2:2" ht="15.75" customHeight="1" x14ac:dyDescent="0.3">
      <c r="B11" s="2" t="s">
        <v>8</v>
      </c>
    </row>
    <row r="12" spans="2:2" ht="15.75" customHeight="1" x14ac:dyDescent="0.3">
      <c r="B12" s="3" t="s">
        <v>9</v>
      </c>
    </row>
    <row r="13" spans="2:2" ht="15.75" customHeight="1" x14ac:dyDescent="0.3">
      <c r="B13" s="3" t="s">
        <v>10</v>
      </c>
    </row>
    <row r="14" spans="2:2" ht="15.75" customHeight="1" x14ac:dyDescent="0.3">
      <c r="B14" s="3" t="s">
        <v>11</v>
      </c>
    </row>
    <row r="15" spans="2:2" ht="18" customHeight="1" x14ac:dyDescent="0.3">
      <c r="B15" s="3"/>
    </row>
    <row r="16" spans="2:2" ht="33.75" customHeight="1" x14ac:dyDescent="0.3">
      <c r="B16" s="2" t="s">
        <v>12</v>
      </c>
    </row>
    <row r="17" spans="2:2" ht="39" customHeight="1" x14ac:dyDescent="0.3">
      <c r="B17" s="3" t="s">
        <v>13</v>
      </c>
    </row>
    <row r="18" spans="2:2" ht="33.75" customHeight="1" x14ac:dyDescent="0.3">
      <c r="B18" s="3" t="s">
        <v>14</v>
      </c>
    </row>
    <row r="19" spans="2:2" ht="15.75" customHeight="1" x14ac:dyDescent="0.3">
      <c r="B19" s="3" t="s">
        <v>15</v>
      </c>
    </row>
    <row r="20" spans="2:2" ht="56.25" customHeight="1" x14ac:dyDescent="0.3">
      <c r="B20" s="3" t="s">
        <v>16</v>
      </c>
    </row>
    <row r="21" spans="2:2" ht="69" customHeight="1" x14ac:dyDescent="0.3">
      <c r="B21" s="4" t="s">
        <v>17</v>
      </c>
    </row>
    <row r="22" spans="2:2" ht="48" customHeight="1" x14ac:dyDescent="0.3">
      <c r="B22" s="4" t="s">
        <v>18</v>
      </c>
    </row>
    <row r="23" spans="2:2" ht="33.75" customHeight="1" x14ac:dyDescent="0.3">
      <c r="B23" s="3" t="s">
        <v>19</v>
      </c>
    </row>
    <row r="24" spans="2:2" ht="15.75" customHeight="1" x14ac:dyDescent="0.3">
      <c r="B24" s="3" t="s">
        <v>20</v>
      </c>
    </row>
    <row r="25" spans="2:2" ht="18" customHeight="1" x14ac:dyDescent="0.3">
      <c r="B25" s="3" t="s">
        <v>21</v>
      </c>
    </row>
    <row r="26" spans="2:2" ht="33.75" customHeight="1" x14ac:dyDescent="0.3">
      <c r="B26" s="3" t="s">
        <v>22</v>
      </c>
    </row>
    <row r="27" spans="2:2" ht="34.5" customHeight="1" x14ac:dyDescent="0.3">
      <c r="B27" s="3"/>
    </row>
    <row r="28" spans="2:2" ht="34.5" customHeight="1" x14ac:dyDescent="0.3">
      <c r="B28" s="2" t="s">
        <v>23</v>
      </c>
    </row>
    <row r="29" spans="2:2" ht="48" customHeight="1" x14ac:dyDescent="0.3">
      <c r="B29" s="3" t="s">
        <v>24</v>
      </c>
    </row>
    <row r="31" spans="2:2" x14ac:dyDescent="0.3">
      <c r="B31" s="2" t="s">
        <v>25</v>
      </c>
    </row>
    <row r="32" spans="2:2" ht="60" customHeight="1" x14ac:dyDescent="0.3">
      <c r="B32" s="3" t="s">
        <v>26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39997558519241921"/>
  </sheetPr>
  <dimension ref="A1:S105"/>
  <sheetViews>
    <sheetView showGridLines="0" tabSelected="1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D11" sqref="D11"/>
    </sheetView>
  </sheetViews>
  <sheetFormatPr defaultColWidth="8.6640625" defaultRowHeight="14.4" outlineLevelCol="1" x14ac:dyDescent="0.3"/>
  <cols>
    <col min="1" max="1" width="5" customWidth="1"/>
    <col min="2" max="2" width="26" customWidth="1"/>
    <col min="3" max="3" width="22" customWidth="1"/>
    <col min="4" max="7" width="12" customWidth="1"/>
    <col min="8" max="8" width="8" customWidth="1"/>
    <col min="11" max="18" width="14" hidden="1" customWidth="1" outlineLevel="1"/>
    <col min="19" max="19" width="8.6640625" collapsed="1"/>
  </cols>
  <sheetData>
    <row r="1" spans="1:18" ht="17.25" customHeight="1" x14ac:dyDescent="0.3">
      <c r="A1" s="33" t="s">
        <v>27</v>
      </c>
      <c r="B1" s="33"/>
      <c r="C1" s="33"/>
      <c r="D1" s="33"/>
      <c r="E1" s="33"/>
      <c r="F1" s="33"/>
      <c r="G1" s="33"/>
      <c r="H1" s="33"/>
    </row>
    <row r="2" spans="1:18" ht="15" customHeight="1" x14ac:dyDescent="0.3">
      <c r="B2" s="5" t="s">
        <v>28</v>
      </c>
      <c r="C2" s="6">
        <v>2026</v>
      </c>
      <c r="E2" s="7" t="s">
        <v>29</v>
      </c>
      <c r="F2" s="8" t="s">
        <v>30</v>
      </c>
    </row>
    <row r="3" spans="1:18" ht="15" customHeight="1" x14ac:dyDescent="0.3">
      <c r="D3" s="9" t="str">
        <f>"("&amp;($C$2-2)&amp;")"</f>
        <v>(2024)</v>
      </c>
      <c r="E3" s="9" t="str">
        <f>"("&amp;($C$2-1)&amp;")"</f>
        <v>(2025)</v>
      </c>
      <c r="F3" s="9" t="str">
        <f>"("&amp;($C$2)&amp;")"</f>
        <v>(2026)</v>
      </c>
      <c r="K3" s="10" t="s">
        <v>31</v>
      </c>
    </row>
    <row r="4" spans="1:18" ht="15" customHeight="1" x14ac:dyDescent="0.3">
      <c r="A4" s="11" t="s">
        <v>32</v>
      </c>
      <c r="B4" s="11" t="s">
        <v>33</v>
      </c>
      <c r="C4" s="11" t="s">
        <v>34</v>
      </c>
      <c r="D4" s="11" t="s">
        <v>35</v>
      </c>
      <c r="E4" s="11" t="s">
        <v>36</v>
      </c>
      <c r="F4" s="11" t="s">
        <v>37</v>
      </c>
      <c r="G4" s="11" t="s">
        <v>38</v>
      </c>
      <c r="H4" s="11" t="s">
        <v>30</v>
      </c>
      <c r="K4" s="12" t="s">
        <v>33</v>
      </c>
      <c r="L4" s="12" t="s">
        <v>34</v>
      </c>
      <c r="M4" s="12" t="s">
        <v>35</v>
      </c>
      <c r="N4" s="12" t="s">
        <v>36</v>
      </c>
      <c r="O4" s="12" t="s">
        <v>37</v>
      </c>
      <c r="P4" s="12" t="s">
        <v>38</v>
      </c>
      <c r="Q4" s="12" t="s">
        <v>30</v>
      </c>
      <c r="R4" s="12" t="s">
        <v>39</v>
      </c>
    </row>
    <row r="6" spans="1:18" ht="15" customHeight="1" x14ac:dyDescent="0.3">
      <c r="A6" s="13">
        <f>IFERROR(MATCH(1,$R$6:$R$105,0),"")</f>
        <v>2</v>
      </c>
      <c r="B6" s="13" t="str">
        <f t="shared" ref="B6:B37" si="0">IF($A6="","",INDEX($K$6:$K$105,$A6))</f>
        <v>Linas Miežlaiškis</v>
      </c>
      <c r="C6" s="13" t="str">
        <f t="shared" ref="C6:C37" si="1">IF($A6="","",INDEX($L$6:$L$105,$A6))</f>
        <v>Kauno AASK</v>
      </c>
      <c r="D6" s="14">
        <f t="shared" ref="D6:D37" si="2">IF($A6="","",INDEX($M$6:$M$105,$A6))</f>
        <v>428.72724999999997</v>
      </c>
      <c r="E6" s="14">
        <f t="shared" ref="E6:E37" si="3">IF($A6="","",INDEX($N$6:$N$105,$A6))</f>
        <v>404.77191887755106</v>
      </c>
      <c r="F6" s="14">
        <f t="shared" ref="F6:F37" si="4">IF($A6="","",INDEX($O$6:$O$105,$A6))</f>
        <v>550</v>
      </c>
      <c r="G6" s="15">
        <f t="shared" ref="G6:G37" si="5">IF($A6="","",INDEX($P$6:$P$105,$A6))</f>
        <v>978.72724999999991</v>
      </c>
      <c r="H6" s="16">
        <f t="shared" ref="H6:H37" si="6">IF($A6="","",INDEX($Q$6:$Q$105,$A6))</f>
        <v>1</v>
      </c>
      <c r="K6" s="17" t="str">
        <f>IF(Pilotai!B2="","",Pilotai!B2)</f>
        <v>Marius Pluščauskas</v>
      </c>
      <c r="L6" s="17" t="str">
        <f>IF($K6="","",Pilotai!C2)</f>
        <v>Vilniaus Aeroklubas</v>
      </c>
      <c r="M6" s="18">
        <f>IF($K6="","",(SUMIFS(Rezultatai!$J$2:$J$500,Rezultatai!$B$2:$B$500,$K6,Rezultatai!$A$2:$A$500,$C$2-2,Rezultatai!$D$2:$D$500,"&lt;&gt;Papildomi (R+)")+MIN(SUMIFS(Rezultatai!$J$2:$J$500,Rezultatai!$B$2:$B$500,$K6,Rezultatai!$A$2:$A$500,$C$2-2,Rezultatai!$D$2:$D$500,"Papildomi (R+)"),0.15*(SUMIFS(Rezultatai!$J$2:$J$500,Rezultatai!$B$2:$B$500,$K6,Rezultatai!$A$2:$A$500,$C$2-2,Rezultatai!$D$2:$D$500,"&lt;&gt;Papildomi (R+)"))))*MIN(425,375+(1/70)*(SUMIFS(Parametrai!$B$2:$B$40,Parametrai!$A$2:$A$40,$C$2-2)-2500)))</f>
        <v>418.66006250000004</v>
      </c>
      <c r="N6" s="18">
        <f>IF($K6="","",(SUMIFS(Rezultatai!$J$2:$J$500,Rezultatai!$B$2:$B$500,$K6,Rezultatai!$A$2:$A$500,$C$2-1,Rezultatai!$D$2:$D$500,"&lt;&gt;Papildomi (R+)")+MIN(SUMIFS(Rezultatai!$J$2:$J$500,Rezultatai!$B$2:$B$500,$K6,Rezultatai!$A$2:$A$500,$C$2-1,Rezultatai!$D$2:$D$500,"Papildomi (R+)"),0.15*(SUMIFS(Rezultatai!$J$2:$J$500,Rezultatai!$B$2:$B$500,$K6,Rezultatai!$A$2:$A$500,$C$2-1,Rezultatai!$D$2:$D$500,"&lt;&gt;Papildomi (R+)"))))*MIN(450,400+(1/70)*(SUMIFS(Parametrai!$B$2:$B$40,Parametrai!$A$2:$A$40,$C$2-1)-2500)))</f>
        <v>427.5</v>
      </c>
      <c r="O6" s="18">
        <f>IF($K6="","",(SUMIFS(Rezultatai!$J$2:$J$500,Rezultatai!$B$2:$B$500,$K6,Rezultatai!$A$2:$A$500,$C$2,Rezultatai!$D$2:$D$500,"&lt;&gt;Papildomi (R+)")+MIN(SUMIFS(Rezultatai!$J$2:$J$500,Rezultatai!$B$2:$B$500,$K6,Rezultatai!$A$2:$A$500,$C$2,Rezultatai!$D$2:$D$500,"Papildomi (R+)"),0.15*(SUMIFS(Rezultatai!$J$2:$J$500,Rezultatai!$B$2:$B$500,$K6,Rezultatai!$A$2:$A$500,$C$2,Rezultatai!$D$2:$D$500,"&lt;&gt;Papildomi (R+)"))))*MIN(550,450+(1/35)*(SUMIFS(Parametrai!$B$2:$B$40,Parametrai!$A$2:$A$40,$C$2)-2500)))</f>
        <v>423.96321696742154</v>
      </c>
      <c r="P6" s="18">
        <f t="shared" ref="P6:P37" si="7">IF($K6="","",SUM($M6:$O6)-MIN($M6:$O6))</f>
        <v>851.46321696742143</v>
      </c>
      <c r="Q6" s="17">
        <f t="shared" ref="Q6:Q37" si="8">IF($K6="","",RANK($P6,$P$6:$P$105,0))</f>
        <v>5</v>
      </c>
      <c r="R6" s="17">
        <f>IF($K6="","",IF($F$2="Pilotas",SUMPRODUCT(($K$6:$K$105&lt;&gt;"")*($K$6:$K$105&lt;$K6))+COUNTIF($K$6:$K6,$K6),IF($F$2="Klubas",SUMPRODUCT(($K$6:$K$105&lt;&gt;"")*($L$6:$L$105&lt;$L6))+SUMPRODUCT(($K$6:$K$105&lt;&gt;"")*($L$6:$L$105=$L6)*($Q$6:$Q$105&lt;$Q6))+COUNTIFS($L$6:$L6,$L6,$Q$6:$Q6,$Q6),IF($F$2="Nr",COUNTIF($K$6:$K6,"?*"),$Q6+COUNTIF($Q$6:$Q6,$Q6)-1))))</f>
        <v>5</v>
      </c>
    </row>
    <row r="7" spans="1:18" ht="15" customHeight="1" x14ac:dyDescent="0.3">
      <c r="A7" s="13">
        <f>IFERROR(MATCH(2,$R$6:$R$105,0),"")</f>
        <v>5</v>
      </c>
      <c r="B7" s="13" t="str">
        <f t="shared" si="0"/>
        <v>Joris Vainius</v>
      </c>
      <c r="C7" s="13" t="str">
        <f t="shared" si="1"/>
        <v>Vilniaus Aeroklubas</v>
      </c>
      <c r="D7" s="14">
        <f t="shared" si="2"/>
        <v>339.23498804668822</v>
      </c>
      <c r="E7" s="14">
        <f t="shared" si="3"/>
        <v>406.24576271186442</v>
      </c>
      <c r="F7" s="14">
        <f t="shared" si="4"/>
        <v>501.04154051108151</v>
      </c>
      <c r="G7" s="15">
        <f t="shared" si="5"/>
        <v>907.28730322294587</v>
      </c>
      <c r="H7" s="16">
        <f t="shared" si="6"/>
        <v>2</v>
      </c>
      <c r="K7" s="17" t="str">
        <f>IF(Pilotai!B3="","",Pilotai!B3)</f>
        <v>Linas Miežlaiškis</v>
      </c>
      <c r="L7" s="17" t="str">
        <f>IF($K7="","",Pilotai!C3)</f>
        <v>Kauno AASK</v>
      </c>
      <c r="M7" s="18">
        <f>IF($K7="","",(SUMIFS(Rezultatai!$J$2:$J$500,Rezultatai!$B$2:$B$500,$K7,Rezultatai!$A$2:$A$500,$C$2-2,Rezultatai!$D$2:$D$500,"&lt;&gt;Papildomi (R+)")+MIN(SUMIFS(Rezultatai!$J$2:$J$500,Rezultatai!$B$2:$B$500,$K7,Rezultatai!$A$2:$A$500,$C$2-2,Rezultatai!$D$2:$D$500,"Papildomi (R+)"),0.15*(SUMIFS(Rezultatai!$J$2:$J$500,Rezultatai!$B$2:$B$500,$K7,Rezultatai!$A$2:$A$500,$C$2-2,Rezultatai!$D$2:$D$500,"&lt;&gt;Papildomi (R+)"))))*MIN(425,375+(1/70)*(SUMIFS(Parametrai!$B$2:$B$40,Parametrai!$A$2:$A$40,$C$2-2)-2500)))</f>
        <v>428.72724999999997</v>
      </c>
      <c r="N7" s="18">
        <f>IF($K7="","",(SUMIFS(Rezultatai!$J$2:$J$500,Rezultatai!$B$2:$B$500,$K7,Rezultatai!$A$2:$A$500,$C$2-1,Rezultatai!$D$2:$D$500,"&lt;&gt;Papildomi (R+)")+MIN(SUMIFS(Rezultatai!$J$2:$J$500,Rezultatai!$B$2:$B$500,$K7,Rezultatai!$A$2:$A$500,$C$2-1,Rezultatai!$D$2:$D$500,"Papildomi (R+)"),0.15*(SUMIFS(Rezultatai!$J$2:$J$500,Rezultatai!$B$2:$B$500,$K7,Rezultatai!$A$2:$A$500,$C$2-1,Rezultatai!$D$2:$D$500,"&lt;&gt;Papildomi (R+)"))))*MIN(450,400+(1/70)*(SUMIFS(Parametrai!$B$2:$B$40,Parametrai!$A$2:$A$40,$C$2-1)-2500)))</f>
        <v>404.77191887755106</v>
      </c>
      <c r="O7" s="18">
        <f>IF($K7="","",(SUMIFS(Rezultatai!$J$2:$J$500,Rezultatai!$B$2:$B$500,$K7,Rezultatai!$A$2:$A$500,$C$2,Rezultatai!$D$2:$D$500,"&lt;&gt;Papildomi (R+)")+MIN(SUMIFS(Rezultatai!$J$2:$J$500,Rezultatai!$B$2:$B$500,$K7,Rezultatai!$A$2:$A$500,$C$2,Rezultatai!$D$2:$D$500,"Papildomi (R+)"),0.15*(SUMIFS(Rezultatai!$J$2:$J$500,Rezultatai!$B$2:$B$500,$K7,Rezultatai!$A$2:$A$500,$C$2,Rezultatai!$D$2:$D$500,"&lt;&gt;Papildomi (R+)"))))*MIN(550,450+(1/35)*(SUMIFS(Parametrai!$B$2:$B$40,Parametrai!$A$2:$A$40,$C$2)-2500)))</f>
        <v>550</v>
      </c>
      <c r="P7" s="18">
        <f t="shared" si="7"/>
        <v>978.72724999999991</v>
      </c>
      <c r="Q7" s="17">
        <f t="shared" si="8"/>
        <v>1</v>
      </c>
      <c r="R7" s="17">
        <f>IF($K7="","",IF($F$2="Pilotas",SUMPRODUCT(($K$6:$K$105&lt;&gt;"")*($K$6:$K$105&lt;$K7))+COUNTIF($K$6:$K7,$K7),IF($F$2="Klubas",SUMPRODUCT(($K$6:$K$105&lt;&gt;"")*($L$6:$L$105&lt;$L7))+SUMPRODUCT(($K$6:$K$105&lt;&gt;"")*($L$6:$L$105=$L7)*($Q$6:$Q$105&lt;$Q7))+COUNTIFS($L$6:$L7,$L7,$Q$6:$Q7,$Q7),IF($F$2="Nr",COUNTIF($K$6:$K7,"?*"),$Q7+COUNTIF($Q$6:$Q7,$Q7)-1))))</f>
        <v>1</v>
      </c>
    </row>
    <row r="8" spans="1:18" ht="15" customHeight="1" x14ac:dyDescent="0.3">
      <c r="A8" s="13">
        <f>IFERROR(MATCH(3,$R$6:$R$105,0),"")</f>
        <v>4</v>
      </c>
      <c r="B8" s="13" t="str">
        <f t="shared" si="0"/>
        <v>Adomas Grabskis</v>
      </c>
      <c r="C8" s="13" t="str">
        <f t="shared" si="1"/>
        <v>Vilniaus Aeroklubas</v>
      </c>
      <c r="D8" s="14">
        <f t="shared" si="2"/>
        <v>394.57882154408662</v>
      </c>
      <c r="E8" s="14">
        <f t="shared" si="3"/>
        <v>397.64745762711863</v>
      </c>
      <c r="F8" s="14">
        <f t="shared" si="4"/>
        <v>493.11493278430424</v>
      </c>
      <c r="G8" s="15">
        <f t="shared" si="5"/>
        <v>890.76239041142298</v>
      </c>
      <c r="H8" s="16">
        <f t="shared" si="6"/>
        <v>3</v>
      </c>
      <c r="K8" s="17" t="str">
        <f>IF(Pilotai!B4="","",Pilotai!B4)</f>
        <v>Gvidas Sabeckis</v>
      </c>
      <c r="L8" s="17" t="str">
        <f>IF($K8="","",Pilotai!C4)</f>
        <v>Aeroklubas Vertikalė</v>
      </c>
      <c r="M8" s="18">
        <f>IF($K8="","",(SUMIFS(Rezultatai!$J$2:$J$500,Rezultatai!$B$2:$B$500,$K8,Rezultatai!$A$2:$A$500,$C$2-2,Rezultatai!$D$2:$D$500,"&lt;&gt;Papildomi (R+)")+MIN(SUMIFS(Rezultatai!$J$2:$J$500,Rezultatai!$B$2:$B$500,$K8,Rezultatai!$A$2:$A$500,$C$2-2,Rezultatai!$D$2:$D$500,"Papildomi (R+)"),0.15*(SUMIFS(Rezultatai!$J$2:$J$500,Rezultatai!$B$2:$B$500,$K8,Rezultatai!$A$2:$A$500,$C$2-2,Rezultatai!$D$2:$D$500,"&lt;&gt;Papildomi (R+)"))))*MIN(425,375+(1/70)*(SUMIFS(Parametrai!$B$2:$B$40,Parametrai!$A$2:$A$40,$C$2-2)-2500)))</f>
        <v>423.50583602868795</v>
      </c>
      <c r="N8" s="18">
        <f>IF($K8="","",(SUMIFS(Rezultatai!$J$2:$J$500,Rezultatai!$B$2:$B$500,$K8,Rezultatai!$A$2:$A$500,$C$2-1,Rezultatai!$D$2:$D$500,"&lt;&gt;Papildomi (R+)")+MIN(SUMIFS(Rezultatai!$J$2:$J$500,Rezultatai!$B$2:$B$500,$K8,Rezultatai!$A$2:$A$500,$C$2-1,Rezultatai!$D$2:$D$500,"Papildomi (R+)"),0.15*(SUMIFS(Rezultatai!$J$2:$J$500,Rezultatai!$B$2:$B$500,$K8,Rezultatai!$A$2:$A$500,$C$2-1,Rezultatai!$D$2:$D$500,"&lt;&gt;Papildomi (R+)"))))*MIN(450,400+(1/70)*(SUMIFS(Parametrai!$B$2:$B$40,Parametrai!$A$2:$A$40,$C$2-1)-2500)))</f>
        <v>406.14915254237292</v>
      </c>
      <c r="O8" s="18">
        <f>IF($K8="","",(SUMIFS(Rezultatai!$J$2:$J$500,Rezultatai!$B$2:$B$500,$K8,Rezultatai!$A$2:$A$500,$C$2,Rezultatai!$D$2:$D$500,"&lt;&gt;Papildomi (R+)")+MIN(SUMIFS(Rezultatai!$J$2:$J$500,Rezultatai!$B$2:$B$500,$K8,Rezultatai!$A$2:$A$500,$C$2,Rezultatai!$D$2:$D$500,"Papildomi (R+)"),0.15*(SUMIFS(Rezultatai!$J$2:$J$500,Rezultatai!$B$2:$B$500,$K8,Rezultatai!$A$2:$A$500,$C$2,Rezultatai!$D$2:$D$500,"&lt;&gt;Papildomi (R+)"))))*MIN(550,450+(1/35)*(SUMIFS(Parametrai!$B$2:$B$40,Parametrai!$A$2:$A$40,$C$2)-2500)))</f>
        <v>374.41564732953856</v>
      </c>
      <c r="P8" s="18">
        <f t="shared" si="7"/>
        <v>829.65498857106081</v>
      </c>
      <c r="Q8" s="17">
        <f t="shared" si="8"/>
        <v>7</v>
      </c>
      <c r="R8" s="17">
        <f>IF($K8="","",IF($F$2="Pilotas",SUMPRODUCT(($K$6:$K$105&lt;&gt;"")*($K$6:$K$105&lt;$K8))+COUNTIF($K$6:$K8,$K8),IF($F$2="Klubas",SUMPRODUCT(($K$6:$K$105&lt;&gt;"")*($L$6:$L$105&lt;$L8))+SUMPRODUCT(($K$6:$K$105&lt;&gt;"")*($L$6:$L$105=$L8)*($Q$6:$Q$105&lt;$Q8))+COUNTIFS($L$6:$L8,$L8,$Q$6:$Q8,$Q8),IF($F$2="Nr",COUNTIF($K$6:$K8,"?*"),$Q8+COUNTIF($Q$6:$Q8,$Q8)-1))))</f>
        <v>7</v>
      </c>
    </row>
    <row r="9" spans="1:18" ht="15" customHeight="1" x14ac:dyDescent="0.3">
      <c r="A9" s="13">
        <f>IFERROR(MATCH(4,$R$6:$R$105,0),"")</f>
        <v>8</v>
      </c>
      <c r="B9" s="13" t="str">
        <f t="shared" si="0"/>
        <v>Vytautas Rasimavičius</v>
      </c>
      <c r="C9" s="13" t="str">
        <f t="shared" si="1"/>
        <v>Kauno AASK</v>
      </c>
      <c r="D9" s="14">
        <f t="shared" si="2"/>
        <v>348.02067219800307</v>
      </c>
      <c r="E9" s="14">
        <f t="shared" si="3"/>
        <v>379.871186440678</v>
      </c>
      <c r="F9" s="14">
        <f t="shared" si="4"/>
        <v>499.70933753179122</v>
      </c>
      <c r="G9" s="15">
        <f t="shared" si="5"/>
        <v>879.58052397246911</v>
      </c>
      <c r="H9" s="16">
        <f t="shared" si="6"/>
        <v>4</v>
      </c>
      <c r="K9" s="17" t="str">
        <f>IF(Pilotai!B5="","",Pilotai!B5)</f>
        <v>Adomas Grabskis</v>
      </c>
      <c r="L9" s="17" t="str">
        <f>IF($K9="","",Pilotai!C5)</f>
        <v>Vilniaus Aeroklubas</v>
      </c>
      <c r="M9" s="18">
        <f>IF($K9="","",(SUMIFS(Rezultatai!$J$2:$J$500,Rezultatai!$B$2:$B$500,$K9,Rezultatai!$A$2:$A$500,$C$2-2,Rezultatai!$D$2:$D$500,"&lt;&gt;Papildomi (R+)")+MIN(SUMIFS(Rezultatai!$J$2:$J$500,Rezultatai!$B$2:$B$500,$K9,Rezultatai!$A$2:$A$500,$C$2-2,Rezultatai!$D$2:$D$500,"Papildomi (R+)"),0.15*(SUMIFS(Rezultatai!$J$2:$J$500,Rezultatai!$B$2:$B$500,$K9,Rezultatai!$A$2:$A$500,$C$2-2,Rezultatai!$D$2:$D$500,"&lt;&gt;Papildomi (R+)"))))*MIN(425,375+(1/70)*(SUMIFS(Parametrai!$B$2:$B$40,Parametrai!$A$2:$A$40,$C$2-2)-2500)))</f>
        <v>394.57882154408662</v>
      </c>
      <c r="N9" s="18">
        <f>IF($K9="","",(SUMIFS(Rezultatai!$J$2:$J$500,Rezultatai!$B$2:$B$500,$K9,Rezultatai!$A$2:$A$500,$C$2-1,Rezultatai!$D$2:$D$500,"&lt;&gt;Papildomi (R+)")+MIN(SUMIFS(Rezultatai!$J$2:$J$500,Rezultatai!$B$2:$B$500,$K9,Rezultatai!$A$2:$A$500,$C$2-1,Rezultatai!$D$2:$D$500,"Papildomi (R+)"),0.15*(SUMIFS(Rezultatai!$J$2:$J$500,Rezultatai!$B$2:$B$500,$K9,Rezultatai!$A$2:$A$500,$C$2-1,Rezultatai!$D$2:$D$500,"&lt;&gt;Papildomi (R+)"))))*MIN(450,400+(1/70)*(SUMIFS(Parametrai!$B$2:$B$40,Parametrai!$A$2:$A$40,$C$2-1)-2500)))</f>
        <v>397.64745762711863</v>
      </c>
      <c r="O9" s="18">
        <f>IF($K9="","",(SUMIFS(Rezultatai!$J$2:$J$500,Rezultatai!$B$2:$B$500,$K9,Rezultatai!$A$2:$A$500,$C$2,Rezultatai!$D$2:$D$500,"&lt;&gt;Papildomi (R+)")+MIN(SUMIFS(Rezultatai!$J$2:$J$500,Rezultatai!$B$2:$B$500,$K9,Rezultatai!$A$2:$A$500,$C$2,Rezultatai!$D$2:$D$500,"Papildomi (R+)"),0.15*(SUMIFS(Rezultatai!$J$2:$J$500,Rezultatai!$B$2:$B$500,$K9,Rezultatai!$A$2:$A$500,$C$2,Rezultatai!$D$2:$D$500,"&lt;&gt;Papildomi (R+)"))))*MIN(550,450+(1/35)*(SUMIFS(Parametrai!$B$2:$B$40,Parametrai!$A$2:$A$40,$C$2)-2500)))</f>
        <v>493.11493278430424</v>
      </c>
      <c r="P9" s="18">
        <f t="shared" si="7"/>
        <v>890.76239041142298</v>
      </c>
      <c r="Q9" s="17">
        <f t="shared" si="8"/>
        <v>3</v>
      </c>
      <c r="R9" s="17">
        <f>IF($K9="","",IF($F$2="Pilotas",SUMPRODUCT(($K$6:$K$105&lt;&gt;"")*($K$6:$K$105&lt;$K9))+COUNTIF($K$6:$K9,$K9),IF($F$2="Klubas",SUMPRODUCT(($K$6:$K$105&lt;&gt;"")*($L$6:$L$105&lt;$L9))+SUMPRODUCT(($K$6:$K$105&lt;&gt;"")*($L$6:$L$105=$L9)*($Q$6:$Q$105&lt;$Q9))+COUNTIFS($L$6:$L9,$L9,$Q$6:$Q9,$Q9),IF($F$2="Nr",COUNTIF($K$6:$K9,"?*"),$Q9+COUNTIF($Q$6:$Q9,$Q9)-1))))</f>
        <v>3</v>
      </c>
    </row>
    <row r="10" spans="1:18" ht="15" customHeight="1" x14ac:dyDescent="0.3">
      <c r="A10" s="13">
        <f>IFERROR(MATCH(5,$R$6:$R$105,0),"")</f>
        <v>1</v>
      </c>
      <c r="B10" s="13" t="str">
        <f t="shared" si="0"/>
        <v>Marius Pluščauskas</v>
      </c>
      <c r="C10" s="13" t="str">
        <f t="shared" si="1"/>
        <v>Vilniaus Aeroklubas</v>
      </c>
      <c r="D10" s="14">
        <f t="shared" si="2"/>
        <v>418.66006250000004</v>
      </c>
      <c r="E10" s="14">
        <f t="shared" si="3"/>
        <v>427.5</v>
      </c>
      <c r="F10" s="14">
        <f t="shared" si="4"/>
        <v>423.96321696742154</v>
      </c>
      <c r="G10" s="15">
        <f t="shared" si="5"/>
        <v>851.46321696742143</v>
      </c>
      <c r="H10" s="16">
        <f t="shared" si="6"/>
        <v>5</v>
      </c>
      <c r="K10" s="17" t="str">
        <f>IF(Pilotai!B6="","",Pilotai!B6)</f>
        <v>Joris Vainius</v>
      </c>
      <c r="L10" s="17" t="str">
        <f>IF($K10="","",Pilotai!C6)</f>
        <v>Vilniaus Aeroklubas</v>
      </c>
      <c r="M10" s="18">
        <f>IF($K10="","",(SUMIFS(Rezultatai!$J$2:$J$500,Rezultatai!$B$2:$B$500,$K10,Rezultatai!$A$2:$A$500,$C$2-2,Rezultatai!$D$2:$D$500,"&lt;&gt;Papildomi (R+)")+MIN(SUMIFS(Rezultatai!$J$2:$J$500,Rezultatai!$B$2:$B$500,$K10,Rezultatai!$A$2:$A$500,$C$2-2,Rezultatai!$D$2:$D$500,"Papildomi (R+)"),0.15*(SUMIFS(Rezultatai!$J$2:$J$500,Rezultatai!$B$2:$B$500,$K10,Rezultatai!$A$2:$A$500,$C$2-2,Rezultatai!$D$2:$D$500,"&lt;&gt;Papildomi (R+)"))))*MIN(425,375+(1/70)*(SUMIFS(Parametrai!$B$2:$B$40,Parametrai!$A$2:$A$40,$C$2-2)-2500)))</f>
        <v>339.23498804668822</v>
      </c>
      <c r="N10" s="18">
        <f>IF($K10="","",(SUMIFS(Rezultatai!$J$2:$J$500,Rezultatai!$B$2:$B$500,$K10,Rezultatai!$A$2:$A$500,$C$2-1,Rezultatai!$D$2:$D$500,"&lt;&gt;Papildomi (R+)")+MIN(SUMIFS(Rezultatai!$J$2:$J$500,Rezultatai!$B$2:$B$500,$K10,Rezultatai!$A$2:$A$500,$C$2-1,Rezultatai!$D$2:$D$500,"Papildomi (R+)"),0.15*(SUMIFS(Rezultatai!$J$2:$J$500,Rezultatai!$B$2:$B$500,$K10,Rezultatai!$A$2:$A$500,$C$2-1,Rezultatai!$D$2:$D$500,"&lt;&gt;Papildomi (R+)"))))*MIN(450,400+(1/70)*(SUMIFS(Parametrai!$B$2:$B$40,Parametrai!$A$2:$A$40,$C$2-1)-2500)))</f>
        <v>406.24576271186442</v>
      </c>
      <c r="O10" s="18">
        <f>IF($K10="","",(SUMIFS(Rezultatai!$J$2:$J$500,Rezultatai!$B$2:$B$500,$K10,Rezultatai!$A$2:$A$500,$C$2,Rezultatai!$D$2:$D$500,"&lt;&gt;Papildomi (R+)")+MIN(SUMIFS(Rezultatai!$J$2:$J$500,Rezultatai!$B$2:$B$500,$K10,Rezultatai!$A$2:$A$500,$C$2,Rezultatai!$D$2:$D$500,"Papildomi (R+)"),0.15*(SUMIFS(Rezultatai!$J$2:$J$500,Rezultatai!$B$2:$B$500,$K10,Rezultatai!$A$2:$A$500,$C$2,Rezultatai!$D$2:$D$500,"&lt;&gt;Papildomi (R+)"))))*MIN(550,450+(1/35)*(SUMIFS(Parametrai!$B$2:$B$40,Parametrai!$A$2:$A$40,$C$2)-2500)))</f>
        <v>501.04154051108151</v>
      </c>
      <c r="P10" s="18">
        <f t="shared" si="7"/>
        <v>907.28730322294587</v>
      </c>
      <c r="Q10" s="17">
        <f t="shared" si="8"/>
        <v>2</v>
      </c>
      <c r="R10" s="17">
        <f>IF($K10="","",IF($F$2="Pilotas",SUMPRODUCT(($K$6:$K$105&lt;&gt;"")*($K$6:$K$105&lt;$K10))+COUNTIF($K$6:$K10,$K10),IF($F$2="Klubas",SUMPRODUCT(($K$6:$K$105&lt;&gt;"")*($L$6:$L$105&lt;$L10))+SUMPRODUCT(($K$6:$K$105&lt;&gt;"")*($L$6:$L$105=$L10)*($Q$6:$Q$105&lt;$Q10))+COUNTIFS($L$6:$L10,$L10,$Q$6:$Q10,$Q10),IF($F$2="Nr",COUNTIF($K$6:$K10,"?*"),$Q10+COUNTIF($Q$6:$Q10,$Q10)-1))))</f>
        <v>2</v>
      </c>
    </row>
    <row r="11" spans="1:18" ht="15" customHeight="1" x14ac:dyDescent="0.3">
      <c r="A11" s="13">
        <f>IFERROR(MATCH(6,$R$6:$R$105,0),"")</f>
        <v>12</v>
      </c>
      <c r="B11" s="13" t="str">
        <f t="shared" si="0"/>
        <v>Vladas Motūza</v>
      </c>
      <c r="C11" s="13" t="str">
        <f t="shared" si="1"/>
        <v>Kauno AASK</v>
      </c>
      <c r="D11" s="14">
        <f t="shared" si="2"/>
        <v>275.22500351567993</v>
      </c>
      <c r="E11" s="14">
        <f t="shared" si="3"/>
        <v>357.26440677966104</v>
      </c>
      <c r="F11" s="14">
        <f t="shared" si="4"/>
        <v>481.95039172823056</v>
      </c>
      <c r="G11" s="15">
        <f t="shared" si="5"/>
        <v>839.21479850789183</v>
      </c>
      <c r="H11" s="16">
        <f t="shared" si="6"/>
        <v>6</v>
      </c>
      <c r="K11" s="17" t="str">
        <f>IF(Pilotai!B7="","",Pilotai!B7)</f>
        <v>Karolis Mikalauskas</v>
      </c>
      <c r="L11" s="17" t="str">
        <f>IF($K11="","",Pilotai!C7)</f>
        <v>Vilniaus Aeroklubas</v>
      </c>
      <c r="M11" s="18">
        <f>IF($K11="","",(SUMIFS(Rezultatai!$J$2:$J$500,Rezultatai!$B$2:$B$500,$K11,Rezultatai!$A$2:$A$500,$C$2-2,Rezultatai!$D$2:$D$500,"&lt;&gt;Papildomi (R+)")+MIN(SUMIFS(Rezultatai!$J$2:$J$500,Rezultatai!$B$2:$B$500,$K11,Rezultatai!$A$2:$A$500,$C$2-2,Rezultatai!$D$2:$D$500,"Papildomi (R+)"),0.15*(SUMIFS(Rezultatai!$J$2:$J$500,Rezultatai!$B$2:$B$500,$K11,Rezultatai!$A$2:$A$500,$C$2-2,Rezultatai!$D$2:$D$500,"&lt;&gt;Papildomi (R+)"))))*MIN(425,375+(1/70)*(SUMIFS(Parametrai!$B$2:$B$40,Parametrai!$A$2:$A$40,$C$2-2)-2500)))</f>
        <v>420.87610743917872</v>
      </c>
      <c r="N11" s="18">
        <f>IF($K11="","",(SUMIFS(Rezultatai!$J$2:$J$500,Rezultatai!$B$2:$B$500,$K11,Rezultatai!$A$2:$A$500,$C$2-1,Rezultatai!$D$2:$D$500,"&lt;&gt;Papildomi (R+)")+MIN(SUMIFS(Rezultatai!$J$2:$J$500,Rezultatai!$B$2:$B$500,$K11,Rezultatai!$A$2:$A$500,$C$2-1,Rezultatai!$D$2:$D$500,"Papildomi (R+)"),0.15*(SUMIFS(Rezultatai!$J$2:$J$500,Rezultatai!$B$2:$B$500,$K11,Rezultatai!$A$2:$A$500,$C$2-1,Rezultatai!$D$2:$D$500,"&lt;&gt;Papildomi (R+)"))))*MIN(450,400+(1/70)*(SUMIFS(Parametrai!$B$2:$B$40,Parametrai!$A$2:$A$40,$C$2-1)-2500)))</f>
        <v>0</v>
      </c>
      <c r="O11" s="18">
        <f>IF($K11="","",(SUMIFS(Rezultatai!$J$2:$J$500,Rezultatai!$B$2:$B$500,$K11,Rezultatai!$A$2:$A$500,$C$2,Rezultatai!$D$2:$D$500,"&lt;&gt;Papildomi (R+)")+MIN(SUMIFS(Rezultatai!$J$2:$J$500,Rezultatai!$B$2:$B$500,$K11,Rezultatai!$A$2:$A$500,$C$2,Rezultatai!$D$2:$D$500,"Papildomi (R+)"),0.15*(SUMIFS(Rezultatai!$J$2:$J$500,Rezultatai!$B$2:$B$500,$K11,Rezultatai!$A$2:$A$500,$C$2,Rezultatai!$D$2:$D$500,"&lt;&gt;Papildomi (R+)"))))*MIN(550,450+(1/35)*(SUMIFS(Parametrai!$B$2:$B$40,Parametrai!$A$2:$A$40,$C$2)-2500)))</f>
        <v>0</v>
      </c>
      <c r="P11" s="18">
        <f t="shared" si="7"/>
        <v>420.87610743917872</v>
      </c>
      <c r="Q11" s="17">
        <f t="shared" si="8"/>
        <v>17</v>
      </c>
      <c r="R11" s="17">
        <f>IF($K11="","",IF($F$2="Pilotas",SUMPRODUCT(($K$6:$K$105&lt;&gt;"")*($K$6:$K$105&lt;$K11))+COUNTIF($K$6:$K11,$K11),IF($F$2="Klubas",SUMPRODUCT(($K$6:$K$105&lt;&gt;"")*($L$6:$L$105&lt;$L11))+SUMPRODUCT(($K$6:$K$105&lt;&gt;"")*($L$6:$L$105=$L11)*($Q$6:$Q$105&lt;$Q11))+COUNTIFS($L$6:$L11,$L11,$Q$6:$Q11,$Q11),IF($F$2="Nr",COUNTIF($K$6:$K11,"?*"),$Q11+COUNTIF($Q$6:$Q11,$Q11)-1))))</f>
        <v>17</v>
      </c>
    </row>
    <row r="12" spans="1:18" ht="15" customHeight="1" x14ac:dyDescent="0.3">
      <c r="A12" s="13">
        <f>IFERROR(MATCH(7,$R$6:$R$105,0),"")</f>
        <v>3</v>
      </c>
      <c r="B12" s="13" t="str">
        <f t="shared" si="0"/>
        <v>Gvidas Sabeckis</v>
      </c>
      <c r="C12" s="13" t="str">
        <f t="shared" si="1"/>
        <v>Aeroklubas Vertikalė</v>
      </c>
      <c r="D12" s="14">
        <f t="shared" si="2"/>
        <v>423.50583602868795</v>
      </c>
      <c r="E12" s="14">
        <f t="shared" si="3"/>
        <v>406.14915254237292</v>
      </c>
      <c r="F12" s="14">
        <f t="shared" si="4"/>
        <v>374.41564732953856</v>
      </c>
      <c r="G12" s="15">
        <f t="shared" si="5"/>
        <v>829.65498857106081</v>
      </c>
      <c r="H12" s="16">
        <f t="shared" si="6"/>
        <v>7</v>
      </c>
      <c r="K12" s="17" t="str">
        <f>IF(Pilotai!B8="","",Pilotai!B8)</f>
        <v>Vytautas Sabeckis</v>
      </c>
      <c r="L12" s="17" t="str">
        <f>IF($K12="","",Pilotai!C8)</f>
        <v>Aeroklubas Vertikalė</v>
      </c>
      <c r="M12" s="18">
        <f>IF($K12="","",(SUMIFS(Rezultatai!$J$2:$J$500,Rezultatai!$B$2:$B$500,$K12,Rezultatai!$A$2:$A$500,$C$2-2,Rezultatai!$D$2:$D$500,"&lt;&gt;Papildomi (R+)")+MIN(SUMIFS(Rezultatai!$J$2:$J$500,Rezultatai!$B$2:$B$500,$K12,Rezultatai!$A$2:$A$500,$C$2-2,Rezultatai!$D$2:$D$500,"Papildomi (R+)"),0.15*(SUMIFS(Rezultatai!$J$2:$J$500,Rezultatai!$B$2:$B$500,$K12,Rezultatai!$A$2:$A$500,$C$2-2,Rezultatai!$D$2:$D$500,"&lt;&gt;Papildomi (R+)"))))*MIN(425,375+(1/70)*(SUMIFS(Parametrai!$B$2:$B$40,Parametrai!$A$2:$A$40,$C$2-2)-2500)))</f>
        <v>311.02517226831668</v>
      </c>
      <c r="N12" s="18">
        <f>IF($K12="","",(SUMIFS(Rezultatai!$J$2:$J$500,Rezultatai!$B$2:$B$500,$K12,Rezultatai!$A$2:$A$500,$C$2-1,Rezultatai!$D$2:$D$500,"&lt;&gt;Papildomi (R+)")+MIN(SUMIFS(Rezultatai!$J$2:$J$500,Rezultatai!$B$2:$B$500,$K12,Rezultatai!$A$2:$A$500,$C$2-1,Rezultatai!$D$2:$D$500,"Papildomi (R+)"),0.15*(SUMIFS(Rezultatai!$J$2:$J$500,Rezultatai!$B$2:$B$500,$K12,Rezultatai!$A$2:$A$500,$C$2-1,Rezultatai!$D$2:$D$500,"&lt;&gt;Papildomi (R+)"))))*MIN(450,400+(1/70)*(SUMIFS(Parametrai!$B$2:$B$40,Parametrai!$A$2:$A$40,$C$2-1)-2500)))</f>
        <v>369.53389830508473</v>
      </c>
      <c r="O12" s="18">
        <f>IF($K12="","",(SUMIFS(Rezultatai!$J$2:$J$500,Rezultatai!$B$2:$B$500,$K12,Rezultatai!$A$2:$A$500,$C$2,Rezultatai!$D$2:$D$500,"&lt;&gt;Papildomi (R+)")+MIN(SUMIFS(Rezultatai!$J$2:$J$500,Rezultatai!$B$2:$B$500,$K12,Rezultatai!$A$2:$A$500,$C$2,Rezultatai!$D$2:$D$500,"Papildomi (R+)"),0.15*(SUMIFS(Rezultatai!$J$2:$J$500,Rezultatai!$B$2:$B$500,$K12,Rezultatai!$A$2:$A$500,$C$2,Rezultatai!$D$2:$D$500,"&lt;&gt;Papildomi (R+)"))))*MIN(550,450+(1/35)*(SUMIFS(Parametrai!$B$2:$B$40,Parametrai!$A$2:$A$40,$C$2)-2500)))</f>
        <v>346.10633401961974</v>
      </c>
      <c r="P12" s="18">
        <f t="shared" si="7"/>
        <v>715.64023232470436</v>
      </c>
      <c r="Q12" s="17">
        <f t="shared" si="8"/>
        <v>10</v>
      </c>
      <c r="R12" s="17">
        <f>IF($K12="","",IF($F$2="Pilotas",SUMPRODUCT(($K$6:$K$105&lt;&gt;"")*($K$6:$K$105&lt;$K12))+COUNTIF($K$6:$K12,$K12),IF($F$2="Klubas",SUMPRODUCT(($K$6:$K$105&lt;&gt;"")*($L$6:$L$105&lt;$L12))+SUMPRODUCT(($K$6:$K$105&lt;&gt;"")*($L$6:$L$105=$L12)*($Q$6:$Q$105&lt;$Q12))+COUNTIFS($L$6:$L12,$L12,$Q$6:$Q12,$Q12),IF($F$2="Nr",COUNTIF($K$6:$K12,"?*"),$Q12+COUNTIF($Q$6:$Q12,$Q12)-1))))</f>
        <v>10</v>
      </c>
    </row>
    <row r="13" spans="1:18" ht="15" customHeight="1" x14ac:dyDescent="0.3">
      <c r="A13" s="13">
        <f>IFERROR(MATCH(8,$R$6:$R$105,0),"")</f>
        <v>11</v>
      </c>
      <c r="B13" s="13" t="str">
        <f t="shared" si="0"/>
        <v>Darius Liaugaudas</v>
      </c>
      <c r="C13" s="13" t="str">
        <f t="shared" si="1"/>
        <v>Kauno AASK</v>
      </c>
      <c r="D13" s="14">
        <f t="shared" si="2"/>
        <v>395.65461960343129</v>
      </c>
      <c r="E13" s="14">
        <f t="shared" si="3"/>
        <v>0</v>
      </c>
      <c r="F13" s="14">
        <f t="shared" si="4"/>
        <v>408.98631464212184</v>
      </c>
      <c r="G13" s="15">
        <f t="shared" si="5"/>
        <v>804.64093424555313</v>
      </c>
      <c r="H13" s="16">
        <f t="shared" si="6"/>
        <v>8</v>
      </c>
      <c r="K13" s="17" t="str">
        <f>IF(Pilotai!B9="","",Pilotai!B9)</f>
        <v>Vytautas Rasimavičius</v>
      </c>
      <c r="L13" s="17" t="str">
        <f>IF($K13="","",Pilotai!C9)</f>
        <v>Kauno AASK</v>
      </c>
      <c r="M13" s="18">
        <f>IF($K13="","",(SUMIFS(Rezultatai!$J$2:$J$500,Rezultatai!$B$2:$B$500,$K13,Rezultatai!$A$2:$A$500,$C$2-2,Rezultatai!$D$2:$D$500,"&lt;&gt;Papildomi (R+)")+MIN(SUMIFS(Rezultatai!$J$2:$J$500,Rezultatai!$B$2:$B$500,$K13,Rezultatai!$A$2:$A$500,$C$2-2,Rezultatai!$D$2:$D$500,"Papildomi (R+)"),0.15*(SUMIFS(Rezultatai!$J$2:$J$500,Rezultatai!$B$2:$B$500,$K13,Rezultatai!$A$2:$A$500,$C$2-2,Rezultatai!$D$2:$D$500,"&lt;&gt;Papildomi (R+)"))))*MIN(425,375+(1/70)*(SUMIFS(Parametrai!$B$2:$B$40,Parametrai!$A$2:$A$40,$C$2-2)-2500)))</f>
        <v>348.02067219800307</v>
      </c>
      <c r="N13" s="18">
        <f>IF($K13="","",(SUMIFS(Rezultatai!$J$2:$J$500,Rezultatai!$B$2:$B$500,$K13,Rezultatai!$A$2:$A$500,$C$2-1,Rezultatai!$D$2:$D$500,"&lt;&gt;Papildomi (R+)")+MIN(SUMIFS(Rezultatai!$J$2:$J$500,Rezultatai!$B$2:$B$500,$K13,Rezultatai!$A$2:$A$500,$C$2-1,Rezultatai!$D$2:$D$500,"Papildomi (R+)"),0.15*(SUMIFS(Rezultatai!$J$2:$J$500,Rezultatai!$B$2:$B$500,$K13,Rezultatai!$A$2:$A$500,$C$2-1,Rezultatai!$D$2:$D$500,"&lt;&gt;Papildomi (R+)"))))*MIN(450,400+(1/70)*(SUMIFS(Parametrai!$B$2:$B$40,Parametrai!$A$2:$A$40,$C$2-1)-2500)))</f>
        <v>379.871186440678</v>
      </c>
      <c r="O13" s="18">
        <f>IF($K13="","",(SUMIFS(Rezultatai!$J$2:$J$500,Rezultatai!$B$2:$B$500,$K13,Rezultatai!$A$2:$A$500,$C$2,Rezultatai!$D$2:$D$500,"&lt;&gt;Papildomi (R+)")+MIN(SUMIFS(Rezultatai!$J$2:$J$500,Rezultatai!$B$2:$B$500,$K13,Rezultatai!$A$2:$A$500,$C$2,Rezultatai!$D$2:$D$500,"Papildomi (R+)"),0.15*(SUMIFS(Rezultatai!$J$2:$J$500,Rezultatai!$B$2:$B$500,$K13,Rezultatai!$A$2:$A$500,$C$2,Rezultatai!$D$2:$D$500,"&lt;&gt;Papildomi (R+)"))))*MIN(550,450+(1/35)*(SUMIFS(Parametrai!$B$2:$B$40,Parametrai!$A$2:$A$40,$C$2)-2500)))</f>
        <v>499.70933753179122</v>
      </c>
      <c r="P13" s="18">
        <f t="shared" si="7"/>
        <v>879.58052397246911</v>
      </c>
      <c r="Q13" s="17">
        <f t="shared" si="8"/>
        <v>4</v>
      </c>
      <c r="R13" s="17">
        <f>IF($K13="","",IF($F$2="Pilotas",SUMPRODUCT(($K$6:$K$105&lt;&gt;"")*($K$6:$K$105&lt;$K13))+COUNTIF($K$6:$K13,$K13),IF($F$2="Klubas",SUMPRODUCT(($K$6:$K$105&lt;&gt;"")*($L$6:$L$105&lt;$L13))+SUMPRODUCT(($K$6:$K$105&lt;&gt;"")*($L$6:$L$105=$L13)*($Q$6:$Q$105&lt;$Q13))+COUNTIFS($L$6:$L13,$L13,$Q$6:$Q13,$Q13),IF($F$2="Nr",COUNTIF($K$6:$K13,"?*"),$Q13+COUNTIF($Q$6:$Q13,$Q13)-1))))</f>
        <v>4</v>
      </c>
    </row>
    <row r="14" spans="1:18" ht="15" customHeight="1" x14ac:dyDescent="0.3">
      <c r="A14" s="13">
        <f>IFERROR(MATCH(9,$R$6:$R$105,0),"")</f>
        <v>10</v>
      </c>
      <c r="B14" s="13" t="str">
        <f t="shared" si="0"/>
        <v>Viktoras Kukčikaitis</v>
      </c>
      <c r="C14" s="13" t="str">
        <f t="shared" si="1"/>
        <v>Aeroklubas Vertikalė</v>
      </c>
      <c r="D14" s="14">
        <f t="shared" si="2"/>
        <v>279.46842919420618</v>
      </c>
      <c r="E14" s="14">
        <f t="shared" si="3"/>
        <v>369.53389830508473</v>
      </c>
      <c r="F14" s="14">
        <f t="shared" si="4"/>
        <v>374.08259658471599</v>
      </c>
      <c r="G14" s="15">
        <f t="shared" si="5"/>
        <v>743.61649488980061</v>
      </c>
      <c r="H14" s="16">
        <f t="shared" si="6"/>
        <v>9</v>
      </c>
      <c r="K14" s="17" t="str">
        <f>IF(Pilotai!B10="","",Pilotai!B10)</f>
        <v>Gintaras Drevinskas</v>
      </c>
      <c r="L14" s="17" t="str">
        <f>IF($K14="","",Pilotai!C10)</f>
        <v>Biržų Aeroklubas</v>
      </c>
      <c r="M14" s="18">
        <f>IF($K14="","",(SUMIFS(Rezultatai!$J$2:$J$500,Rezultatai!$B$2:$B$500,$K14,Rezultatai!$A$2:$A$500,$C$2-2,Rezultatai!$D$2:$D$500,"&lt;&gt;Papildomi (R+)")+MIN(SUMIFS(Rezultatai!$J$2:$J$500,Rezultatai!$B$2:$B$500,$K14,Rezultatai!$A$2:$A$500,$C$2-2,Rezultatai!$D$2:$D$500,"Papildomi (R+)"),0.15*(SUMIFS(Rezultatai!$J$2:$J$500,Rezultatai!$B$2:$B$500,$K14,Rezultatai!$A$2:$A$500,$C$2-2,Rezultatai!$D$2:$D$500,"&lt;&gt;Papildomi (R+)"))))*MIN(425,375+(1/70)*(SUMIFS(Parametrai!$B$2:$B$40,Parametrai!$A$2:$A$40,$C$2-2)-2500)))</f>
        <v>407.01026578540291</v>
      </c>
      <c r="N14" s="18">
        <f>IF($K14="","",(SUMIFS(Rezultatai!$J$2:$J$500,Rezultatai!$B$2:$B$500,$K14,Rezultatai!$A$2:$A$500,$C$2-1,Rezultatai!$D$2:$D$500,"&lt;&gt;Papildomi (R+)")+MIN(SUMIFS(Rezultatai!$J$2:$J$500,Rezultatai!$B$2:$B$500,$K14,Rezultatai!$A$2:$A$500,$C$2-1,Rezultatai!$D$2:$D$500,"Papildomi (R+)"),0.15*(SUMIFS(Rezultatai!$J$2:$J$500,Rezultatai!$B$2:$B$500,$K14,Rezultatai!$A$2:$A$500,$C$2-1,Rezultatai!$D$2:$D$500,"&lt;&gt;Papildomi (R+)"))))*MIN(450,400+(1/70)*(SUMIFS(Parametrai!$B$2:$B$40,Parametrai!$A$2:$A$40,$C$2-1)-2500)))</f>
        <v>0</v>
      </c>
      <c r="O14" s="18">
        <f>IF($K14="","",(SUMIFS(Rezultatai!$J$2:$J$500,Rezultatai!$B$2:$B$500,$K14,Rezultatai!$A$2:$A$500,$C$2,Rezultatai!$D$2:$D$500,"&lt;&gt;Papildomi (R+)")+MIN(SUMIFS(Rezultatai!$J$2:$J$500,Rezultatai!$B$2:$B$500,$K14,Rezultatai!$A$2:$A$500,$C$2,Rezultatai!$D$2:$D$500,"Papildomi (R+)"),0.15*(SUMIFS(Rezultatai!$J$2:$J$500,Rezultatai!$B$2:$B$500,$K14,Rezultatai!$A$2:$A$500,$C$2,Rezultatai!$D$2:$D$500,"&lt;&gt;Papildomi (R+)"))))*MIN(550,450+(1/35)*(SUMIFS(Parametrai!$B$2:$B$40,Parametrai!$A$2:$A$40,$C$2)-2500)))</f>
        <v>0</v>
      </c>
      <c r="P14" s="18">
        <f t="shared" si="7"/>
        <v>407.01026578540291</v>
      </c>
      <c r="Q14" s="17">
        <f t="shared" si="8"/>
        <v>18</v>
      </c>
      <c r="R14" s="17">
        <f>IF($K14="","",IF($F$2="Pilotas",SUMPRODUCT(($K$6:$K$105&lt;&gt;"")*($K$6:$K$105&lt;$K14))+COUNTIF($K$6:$K14,$K14),IF($F$2="Klubas",SUMPRODUCT(($K$6:$K$105&lt;&gt;"")*($L$6:$L$105&lt;$L14))+SUMPRODUCT(($K$6:$K$105&lt;&gt;"")*($L$6:$L$105=$L14)*($Q$6:$Q$105&lt;$Q14))+COUNTIFS($L$6:$L14,$L14,$Q$6:$Q14,$Q14),IF($F$2="Nr",COUNTIF($K$6:$K14,"?*"),$Q14+COUNTIF($Q$6:$Q14,$Q14)-1))))</f>
        <v>18</v>
      </c>
    </row>
    <row r="15" spans="1:18" ht="15" customHeight="1" x14ac:dyDescent="0.3">
      <c r="A15" s="13">
        <f>IFERROR(MATCH(10,$R$6:$R$105,0),"")</f>
        <v>7</v>
      </c>
      <c r="B15" s="13" t="str">
        <f t="shared" si="0"/>
        <v>Vytautas Sabeckis</v>
      </c>
      <c r="C15" s="13" t="str">
        <f t="shared" si="1"/>
        <v>Aeroklubas Vertikalė</v>
      </c>
      <c r="D15" s="14">
        <f t="shared" si="2"/>
        <v>311.02517226831668</v>
      </c>
      <c r="E15" s="14">
        <f t="shared" si="3"/>
        <v>369.53389830508473</v>
      </c>
      <c r="F15" s="14">
        <f t="shared" si="4"/>
        <v>346.10633401961974</v>
      </c>
      <c r="G15" s="15">
        <f t="shared" si="5"/>
        <v>715.64023232470436</v>
      </c>
      <c r="H15" s="16">
        <f t="shared" si="6"/>
        <v>10</v>
      </c>
      <c r="K15" s="17" t="str">
        <f>IF(Pilotai!B11="","",Pilotai!B11)</f>
        <v>Viktoras Kukčikaitis</v>
      </c>
      <c r="L15" s="17" t="str">
        <f>IF($K15="","",Pilotai!C11)</f>
        <v>Aeroklubas Vertikalė</v>
      </c>
      <c r="M15" s="18">
        <f>IF($K15="","",(SUMIFS(Rezultatai!$J$2:$J$500,Rezultatai!$B$2:$B$500,$K15,Rezultatai!$A$2:$A$500,$C$2-2,Rezultatai!$D$2:$D$500,"&lt;&gt;Papildomi (R+)")+MIN(SUMIFS(Rezultatai!$J$2:$J$500,Rezultatai!$B$2:$B$500,$K15,Rezultatai!$A$2:$A$500,$C$2-2,Rezultatai!$D$2:$D$500,"Papildomi (R+)"),0.15*(SUMIFS(Rezultatai!$J$2:$J$500,Rezultatai!$B$2:$B$500,$K15,Rezultatai!$A$2:$A$500,$C$2-2,Rezultatai!$D$2:$D$500,"&lt;&gt;Papildomi (R+)"))))*MIN(425,375+(1/70)*(SUMIFS(Parametrai!$B$2:$B$40,Parametrai!$A$2:$A$40,$C$2-2)-2500)))</f>
        <v>279.46842919420618</v>
      </c>
      <c r="N15" s="18">
        <f>IF($K15="","",(SUMIFS(Rezultatai!$J$2:$J$500,Rezultatai!$B$2:$B$500,$K15,Rezultatai!$A$2:$A$500,$C$2-1,Rezultatai!$D$2:$D$500,"&lt;&gt;Papildomi (R+)")+MIN(SUMIFS(Rezultatai!$J$2:$J$500,Rezultatai!$B$2:$B$500,$K15,Rezultatai!$A$2:$A$500,$C$2-1,Rezultatai!$D$2:$D$500,"Papildomi (R+)"),0.15*(SUMIFS(Rezultatai!$J$2:$J$500,Rezultatai!$B$2:$B$500,$K15,Rezultatai!$A$2:$A$500,$C$2-1,Rezultatai!$D$2:$D$500,"&lt;&gt;Papildomi (R+)"))))*MIN(450,400+(1/70)*(SUMIFS(Parametrai!$B$2:$B$40,Parametrai!$A$2:$A$40,$C$2-1)-2500)))</f>
        <v>369.53389830508473</v>
      </c>
      <c r="O15" s="18">
        <f>IF($K15="","",(SUMIFS(Rezultatai!$J$2:$J$500,Rezultatai!$B$2:$B$500,$K15,Rezultatai!$A$2:$A$500,$C$2,Rezultatai!$D$2:$D$500,"&lt;&gt;Papildomi (R+)")+MIN(SUMIFS(Rezultatai!$J$2:$J$500,Rezultatai!$B$2:$B$500,$K15,Rezultatai!$A$2:$A$500,$C$2,Rezultatai!$D$2:$D$500,"Papildomi (R+)"),0.15*(SUMIFS(Rezultatai!$J$2:$J$500,Rezultatai!$B$2:$B$500,$K15,Rezultatai!$A$2:$A$500,$C$2,Rezultatai!$D$2:$D$500,"&lt;&gt;Papildomi (R+)"))))*MIN(550,450+(1/35)*(SUMIFS(Parametrai!$B$2:$B$40,Parametrai!$A$2:$A$40,$C$2)-2500)))</f>
        <v>374.08259658471599</v>
      </c>
      <c r="P15" s="18">
        <f t="shared" si="7"/>
        <v>743.61649488980061</v>
      </c>
      <c r="Q15" s="17">
        <f t="shared" si="8"/>
        <v>9</v>
      </c>
      <c r="R15" s="17">
        <f>IF($K15="","",IF($F$2="Pilotas",SUMPRODUCT(($K$6:$K$105&lt;&gt;"")*($K$6:$K$105&lt;$K15))+COUNTIF($K$6:$K15,$K15),IF($F$2="Klubas",SUMPRODUCT(($K$6:$K$105&lt;&gt;"")*($L$6:$L$105&lt;$L15))+SUMPRODUCT(($K$6:$K$105&lt;&gt;"")*($L$6:$L$105=$L15)*($Q$6:$Q$105&lt;$Q15))+COUNTIFS($L$6:$L15,$L15,$Q$6:$Q15,$Q15),IF($F$2="Nr",COUNTIF($K$6:$K15,"?*"),$Q15+COUNTIF($Q$6:$Q15,$Q15)-1))))</f>
        <v>9</v>
      </c>
    </row>
    <row r="16" spans="1:18" ht="15" customHeight="1" x14ac:dyDescent="0.3">
      <c r="A16" s="13">
        <f>IFERROR(MATCH(11,$R$6:$R$105,0),"")</f>
        <v>13</v>
      </c>
      <c r="B16" s="13" t="str">
        <f t="shared" si="0"/>
        <v>Andrius Tamulėnas</v>
      </c>
      <c r="C16" s="13" t="str">
        <f t="shared" si="1"/>
        <v>Vilniaus Aeroklubas</v>
      </c>
      <c r="D16" s="14">
        <f t="shared" si="2"/>
        <v>277.25706651666434</v>
      </c>
      <c r="E16" s="14">
        <f t="shared" si="3"/>
        <v>319.00677966101694</v>
      </c>
      <c r="F16" s="14">
        <f t="shared" si="4"/>
        <v>387.20479593072542</v>
      </c>
      <c r="G16" s="15">
        <f t="shared" si="5"/>
        <v>706.2115755917423</v>
      </c>
      <c r="H16" s="16">
        <f t="shared" si="6"/>
        <v>11</v>
      </c>
      <c r="K16" s="17" t="str">
        <f>IF(Pilotai!B12="","",Pilotai!B12)</f>
        <v>Darius Liaugaudas</v>
      </c>
      <c r="L16" s="17" t="str">
        <f>IF($K16="","",Pilotai!C12)</f>
        <v>Kauno AASK</v>
      </c>
      <c r="M16" s="18">
        <f>IF($K16="","",(SUMIFS(Rezultatai!$J$2:$J$500,Rezultatai!$B$2:$B$500,$K16,Rezultatai!$A$2:$A$500,$C$2-2,Rezultatai!$D$2:$D$500,"&lt;&gt;Papildomi (R+)")+MIN(SUMIFS(Rezultatai!$J$2:$J$500,Rezultatai!$B$2:$B$500,$K16,Rezultatai!$A$2:$A$500,$C$2-2,Rezultatai!$D$2:$D$500,"Papildomi (R+)"),0.15*(SUMIFS(Rezultatai!$J$2:$J$500,Rezultatai!$B$2:$B$500,$K16,Rezultatai!$A$2:$A$500,$C$2-2,Rezultatai!$D$2:$D$500,"&lt;&gt;Papildomi (R+)"))))*MIN(425,375+(1/70)*(SUMIFS(Parametrai!$B$2:$B$40,Parametrai!$A$2:$A$40,$C$2-2)-2500)))</f>
        <v>395.65461960343129</v>
      </c>
      <c r="N16" s="18">
        <f>IF($K16="","",(SUMIFS(Rezultatai!$J$2:$J$500,Rezultatai!$B$2:$B$500,$K16,Rezultatai!$A$2:$A$500,$C$2-1,Rezultatai!$D$2:$D$500,"&lt;&gt;Papildomi (R+)")+MIN(SUMIFS(Rezultatai!$J$2:$J$500,Rezultatai!$B$2:$B$500,$K16,Rezultatai!$A$2:$A$500,$C$2-1,Rezultatai!$D$2:$D$500,"Papildomi (R+)"),0.15*(SUMIFS(Rezultatai!$J$2:$J$500,Rezultatai!$B$2:$B$500,$K16,Rezultatai!$A$2:$A$500,$C$2-1,Rezultatai!$D$2:$D$500,"&lt;&gt;Papildomi (R+)"))))*MIN(450,400+(1/70)*(SUMIFS(Parametrai!$B$2:$B$40,Parametrai!$A$2:$A$40,$C$2-1)-2500)))</f>
        <v>0</v>
      </c>
      <c r="O16" s="18">
        <f>IF($K16="","",(SUMIFS(Rezultatai!$J$2:$J$500,Rezultatai!$B$2:$B$500,$K16,Rezultatai!$A$2:$A$500,$C$2,Rezultatai!$D$2:$D$500,"&lt;&gt;Papildomi (R+)")+MIN(SUMIFS(Rezultatai!$J$2:$J$500,Rezultatai!$B$2:$B$500,$K16,Rezultatai!$A$2:$A$500,$C$2,Rezultatai!$D$2:$D$500,"Papildomi (R+)"),0.15*(SUMIFS(Rezultatai!$J$2:$J$500,Rezultatai!$B$2:$B$500,$K16,Rezultatai!$A$2:$A$500,$C$2,Rezultatai!$D$2:$D$500,"&lt;&gt;Papildomi (R+)"))))*MIN(550,450+(1/35)*(SUMIFS(Parametrai!$B$2:$B$40,Parametrai!$A$2:$A$40,$C$2)-2500)))</f>
        <v>408.98631464212184</v>
      </c>
      <c r="P16" s="18">
        <f t="shared" si="7"/>
        <v>804.64093424555313</v>
      </c>
      <c r="Q16" s="17">
        <f t="shared" si="8"/>
        <v>8</v>
      </c>
      <c r="R16" s="17">
        <f>IF($K16="","",IF($F$2="Pilotas",SUMPRODUCT(($K$6:$K$105&lt;&gt;"")*($K$6:$K$105&lt;$K16))+COUNTIF($K$6:$K16,$K16),IF($F$2="Klubas",SUMPRODUCT(($K$6:$K$105&lt;&gt;"")*($L$6:$L$105&lt;$L16))+SUMPRODUCT(($K$6:$K$105&lt;&gt;"")*($L$6:$L$105=$L16)*($Q$6:$Q$105&lt;$Q16))+COUNTIFS($L$6:$L16,$L16,$Q$6:$Q16,$Q16),IF($F$2="Nr",COUNTIF($K$6:$K16,"?*"),$Q16+COUNTIF($Q$6:$Q16,$Q16)-1))))</f>
        <v>8</v>
      </c>
    </row>
    <row r="17" spans="1:18" ht="15" customHeight="1" x14ac:dyDescent="0.3">
      <c r="A17" s="13">
        <f>IFERROR(MATCH(12,$R$6:$R$105,0),"")</f>
        <v>14</v>
      </c>
      <c r="B17" s="13" t="str">
        <f t="shared" si="0"/>
        <v>Darius Gudžiūnas</v>
      </c>
      <c r="C17" s="13" t="str">
        <f t="shared" si="1"/>
        <v>Vilniaus Aeroklubas</v>
      </c>
      <c r="D17" s="14">
        <f t="shared" si="2"/>
        <v>268.77021515961189</v>
      </c>
      <c r="E17" s="14">
        <f t="shared" si="3"/>
        <v>0</v>
      </c>
      <c r="F17" s="14">
        <f t="shared" si="4"/>
        <v>388.93665980380285</v>
      </c>
      <c r="G17" s="15">
        <f t="shared" si="5"/>
        <v>657.70687496341475</v>
      </c>
      <c r="H17" s="16">
        <f t="shared" si="6"/>
        <v>12</v>
      </c>
      <c r="K17" s="17" t="str">
        <f>IF(Pilotai!B13="","",Pilotai!B13)</f>
        <v>Vladas Motūza</v>
      </c>
      <c r="L17" s="17" t="str">
        <f>IF($K17="","",Pilotai!C13)</f>
        <v>Kauno AASK</v>
      </c>
      <c r="M17" s="18">
        <f>IF($K17="","",(SUMIFS(Rezultatai!$J$2:$J$500,Rezultatai!$B$2:$B$500,$K17,Rezultatai!$A$2:$A$500,$C$2-2,Rezultatai!$D$2:$D$500,"&lt;&gt;Papildomi (R+)")+MIN(SUMIFS(Rezultatai!$J$2:$J$500,Rezultatai!$B$2:$B$500,$K17,Rezultatai!$A$2:$A$500,$C$2-2,Rezultatai!$D$2:$D$500,"Papildomi (R+)"),0.15*(SUMIFS(Rezultatai!$J$2:$J$500,Rezultatai!$B$2:$B$500,$K17,Rezultatai!$A$2:$A$500,$C$2-2,Rezultatai!$D$2:$D$500,"&lt;&gt;Papildomi (R+)"))))*MIN(425,375+(1/70)*(SUMIFS(Parametrai!$B$2:$B$40,Parametrai!$A$2:$A$40,$C$2-2)-2500)))</f>
        <v>275.22500351567993</v>
      </c>
      <c r="N17" s="18">
        <f>IF($K17="","",(SUMIFS(Rezultatai!$J$2:$J$500,Rezultatai!$B$2:$B$500,$K17,Rezultatai!$A$2:$A$500,$C$2-1,Rezultatai!$D$2:$D$500,"&lt;&gt;Papildomi (R+)")+MIN(SUMIFS(Rezultatai!$J$2:$J$500,Rezultatai!$B$2:$B$500,$K17,Rezultatai!$A$2:$A$500,$C$2-1,Rezultatai!$D$2:$D$500,"Papildomi (R+)"),0.15*(SUMIFS(Rezultatai!$J$2:$J$500,Rezultatai!$B$2:$B$500,$K17,Rezultatai!$A$2:$A$500,$C$2-1,Rezultatai!$D$2:$D$500,"&lt;&gt;Papildomi (R+)"))))*MIN(450,400+(1/70)*(SUMIFS(Parametrai!$B$2:$B$40,Parametrai!$A$2:$A$40,$C$2-1)-2500)))</f>
        <v>357.26440677966104</v>
      </c>
      <c r="O17" s="18">
        <f>IF($K17="","",(SUMIFS(Rezultatai!$J$2:$J$500,Rezultatai!$B$2:$B$500,$K17,Rezultatai!$A$2:$A$500,$C$2,Rezultatai!$D$2:$D$500,"&lt;&gt;Papildomi (R+)")+MIN(SUMIFS(Rezultatai!$J$2:$J$500,Rezultatai!$B$2:$B$500,$K17,Rezultatai!$A$2:$A$500,$C$2,Rezultatai!$D$2:$D$500,"Papildomi (R+)"),0.15*(SUMIFS(Rezultatai!$J$2:$J$500,Rezultatai!$B$2:$B$500,$K17,Rezultatai!$A$2:$A$500,$C$2,Rezultatai!$D$2:$D$500,"&lt;&gt;Papildomi (R+)"))))*MIN(550,450+(1/35)*(SUMIFS(Parametrai!$B$2:$B$40,Parametrai!$A$2:$A$40,$C$2)-2500)))</f>
        <v>481.95039172823056</v>
      </c>
      <c r="P17" s="18">
        <f t="shared" si="7"/>
        <v>839.21479850789183</v>
      </c>
      <c r="Q17" s="17">
        <f t="shared" si="8"/>
        <v>6</v>
      </c>
      <c r="R17" s="17">
        <f>IF($K17="","",IF($F$2="Pilotas",SUMPRODUCT(($K$6:$K$105&lt;&gt;"")*($K$6:$K$105&lt;$K17))+COUNTIF($K$6:$K17,$K17),IF($F$2="Klubas",SUMPRODUCT(($K$6:$K$105&lt;&gt;"")*($L$6:$L$105&lt;$L17))+SUMPRODUCT(($K$6:$K$105&lt;&gt;"")*($L$6:$L$105=$L17)*($Q$6:$Q$105&lt;$Q17))+COUNTIFS($L$6:$L17,$L17,$Q$6:$Q17,$Q17),IF($F$2="Nr",COUNTIF($K$6:$K17,"?*"),$Q17+COUNTIF($Q$6:$Q17,$Q17)-1))))</f>
        <v>6</v>
      </c>
    </row>
    <row r="18" spans="1:18" ht="15" customHeight="1" x14ac:dyDescent="0.3">
      <c r="A18" s="13">
        <f>IFERROR(MATCH(13,$R$6:$R$105,0),"")</f>
        <v>17</v>
      </c>
      <c r="B18" s="13" t="str">
        <f t="shared" si="0"/>
        <v>Aleksandras Bateika</v>
      </c>
      <c r="C18" s="13" t="str">
        <f t="shared" si="1"/>
        <v>Kauno AASK</v>
      </c>
      <c r="D18" s="14">
        <f t="shared" si="2"/>
        <v>162.44550696104628</v>
      </c>
      <c r="E18" s="14">
        <f t="shared" si="3"/>
        <v>253.21525423728812</v>
      </c>
      <c r="F18" s="14">
        <f t="shared" si="4"/>
        <v>344.84074118929396</v>
      </c>
      <c r="G18" s="15">
        <f t="shared" si="5"/>
        <v>598.05599542658206</v>
      </c>
      <c r="H18" s="16">
        <f t="shared" si="6"/>
        <v>13</v>
      </c>
      <c r="K18" s="17" t="str">
        <f>IF(Pilotai!B14="","",Pilotai!B14)</f>
        <v>Andrius Tamulėnas</v>
      </c>
      <c r="L18" s="17" t="str">
        <f>IF($K18="","",Pilotai!C14)</f>
        <v>Vilniaus Aeroklubas</v>
      </c>
      <c r="M18" s="18">
        <f>IF($K18="","",(SUMIFS(Rezultatai!$J$2:$J$500,Rezultatai!$B$2:$B$500,$K18,Rezultatai!$A$2:$A$500,$C$2-2,Rezultatai!$D$2:$D$500,"&lt;&gt;Papildomi (R+)")+MIN(SUMIFS(Rezultatai!$J$2:$J$500,Rezultatai!$B$2:$B$500,$K18,Rezultatai!$A$2:$A$500,$C$2-2,Rezultatai!$D$2:$D$500,"Papildomi (R+)"),0.15*(SUMIFS(Rezultatai!$J$2:$J$500,Rezultatai!$B$2:$B$500,$K18,Rezultatai!$A$2:$A$500,$C$2-2,Rezultatai!$D$2:$D$500,"&lt;&gt;Papildomi (R+)"))))*MIN(425,375+(1/70)*(SUMIFS(Parametrai!$B$2:$B$40,Parametrai!$A$2:$A$40,$C$2-2)-2500)))</f>
        <v>277.25706651666434</v>
      </c>
      <c r="N18" s="18">
        <f>IF($K18="","",(SUMIFS(Rezultatai!$J$2:$J$500,Rezultatai!$B$2:$B$500,$K18,Rezultatai!$A$2:$A$500,$C$2-1,Rezultatai!$D$2:$D$500,"&lt;&gt;Papildomi (R+)")+MIN(SUMIFS(Rezultatai!$J$2:$J$500,Rezultatai!$B$2:$B$500,$K18,Rezultatai!$A$2:$A$500,$C$2-1,Rezultatai!$D$2:$D$500,"Papildomi (R+)"),0.15*(SUMIFS(Rezultatai!$J$2:$J$500,Rezultatai!$B$2:$B$500,$K18,Rezultatai!$A$2:$A$500,$C$2-1,Rezultatai!$D$2:$D$500,"&lt;&gt;Papildomi (R+)"))))*MIN(450,400+(1/70)*(SUMIFS(Parametrai!$B$2:$B$40,Parametrai!$A$2:$A$40,$C$2-1)-2500)))</f>
        <v>319.00677966101694</v>
      </c>
      <c r="O18" s="18">
        <f>IF($K18="","",(SUMIFS(Rezultatai!$J$2:$J$500,Rezultatai!$B$2:$B$500,$K18,Rezultatai!$A$2:$A$500,$C$2,Rezultatai!$D$2:$D$500,"&lt;&gt;Papildomi (R+)")+MIN(SUMIFS(Rezultatai!$J$2:$J$500,Rezultatai!$B$2:$B$500,$K18,Rezultatai!$A$2:$A$500,$C$2,Rezultatai!$D$2:$D$500,"Papildomi (R+)"),0.15*(SUMIFS(Rezultatai!$J$2:$J$500,Rezultatai!$B$2:$B$500,$K18,Rezultatai!$A$2:$A$500,$C$2,Rezultatai!$D$2:$D$500,"&lt;&gt;Papildomi (R+)"))))*MIN(550,450+(1/35)*(SUMIFS(Parametrai!$B$2:$B$40,Parametrai!$A$2:$A$40,$C$2)-2500)))</f>
        <v>387.20479593072542</v>
      </c>
      <c r="P18" s="18">
        <f t="shared" si="7"/>
        <v>706.2115755917423</v>
      </c>
      <c r="Q18" s="17">
        <f t="shared" si="8"/>
        <v>11</v>
      </c>
      <c r="R18" s="17">
        <f>IF($K18="","",IF($F$2="Pilotas",SUMPRODUCT(($K$6:$K$105&lt;&gt;"")*($K$6:$K$105&lt;$K18))+COUNTIF($K$6:$K18,$K18),IF($F$2="Klubas",SUMPRODUCT(($K$6:$K$105&lt;&gt;"")*($L$6:$L$105&lt;$L18))+SUMPRODUCT(($K$6:$K$105&lt;&gt;"")*($L$6:$L$105=$L18)*($Q$6:$Q$105&lt;$Q18))+COUNTIFS($L$6:$L18,$L18,$Q$6:$Q18,$Q18),IF($F$2="Nr",COUNTIF($K$6:$K18,"?*"),$Q18+COUNTIF($Q$6:$Q18,$Q18)-1))))</f>
        <v>11</v>
      </c>
    </row>
    <row r="19" spans="1:18" ht="15" customHeight="1" x14ac:dyDescent="0.3">
      <c r="A19" s="13">
        <f>IFERROR(MATCH(14,$R$6:$R$105,0),"")</f>
        <v>15</v>
      </c>
      <c r="B19" s="13" t="str">
        <f t="shared" si="0"/>
        <v>Artūras Klimašauskas</v>
      </c>
      <c r="C19" s="13" t="str">
        <f t="shared" si="1"/>
        <v>Aeroklubas Vertikalė</v>
      </c>
      <c r="D19" s="14">
        <f t="shared" si="2"/>
        <v>267.99324989452958</v>
      </c>
      <c r="E19" s="14">
        <f t="shared" si="3"/>
        <v>243.74745762711865</v>
      </c>
      <c r="F19" s="14">
        <f t="shared" si="4"/>
        <v>300.2119413830689</v>
      </c>
      <c r="G19" s="15">
        <f t="shared" si="5"/>
        <v>568.20519127759849</v>
      </c>
      <c r="H19" s="16">
        <f t="shared" si="6"/>
        <v>14</v>
      </c>
      <c r="K19" s="17" t="str">
        <f>IF(Pilotai!B15="","",Pilotai!B15)</f>
        <v>Darius Gudžiūnas</v>
      </c>
      <c r="L19" s="17" t="str">
        <f>IF($K19="","",Pilotai!C15)</f>
        <v>Vilniaus Aeroklubas</v>
      </c>
      <c r="M19" s="18">
        <f>IF($K19="","",(SUMIFS(Rezultatai!$J$2:$J$500,Rezultatai!$B$2:$B$500,$K19,Rezultatai!$A$2:$A$500,$C$2-2,Rezultatai!$D$2:$D$500,"&lt;&gt;Papildomi (R+)")+MIN(SUMIFS(Rezultatai!$J$2:$J$500,Rezultatai!$B$2:$B$500,$K19,Rezultatai!$A$2:$A$500,$C$2-2,Rezultatai!$D$2:$D$500,"Papildomi (R+)"),0.15*(SUMIFS(Rezultatai!$J$2:$J$500,Rezultatai!$B$2:$B$500,$K19,Rezultatai!$A$2:$A$500,$C$2-2,Rezultatai!$D$2:$D$500,"&lt;&gt;Papildomi (R+)"))))*MIN(425,375+(1/70)*(SUMIFS(Parametrai!$B$2:$B$40,Parametrai!$A$2:$A$40,$C$2-2)-2500)))</f>
        <v>268.77021515961189</v>
      </c>
      <c r="N19" s="18">
        <f>IF($K19="","",(SUMIFS(Rezultatai!$J$2:$J$500,Rezultatai!$B$2:$B$500,$K19,Rezultatai!$A$2:$A$500,$C$2-1,Rezultatai!$D$2:$D$500,"&lt;&gt;Papildomi (R+)")+MIN(SUMIFS(Rezultatai!$J$2:$J$500,Rezultatai!$B$2:$B$500,$K19,Rezultatai!$A$2:$A$500,$C$2-1,Rezultatai!$D$2:$D$500,"Papildomi (R+)"),0.15*(SUMIFS(Rezultatai!$J$2:$J$500,Rezultatai!$B$2:$B$500,$K19,Rezultatai!$A$2:$A$500,$C$2-1,Rezultatai!$D$2:$D$500,"&lt;&gt;Papildomi (R+)"))))*MIN(450,400+(1/70)*(SUMIFS(Parametrai!$B$2:$B$40,Parametrai!$A$2:$A$40,$C$2-1)-2500)))</f>
        <v>0</v>
      </c>
      <c r="O19" s="18">
        <f>IF($K19="","",(SUMIFS(Rezultatai!$J$2:$J$500,Rezultatai!$B$2:$B$500,$K19,Rezultatai!$A$2:$A$500,$C$2,Rezultatai!$D$2:$D$500,"&lt;&gt;Papildomi (R+)")+MIN(SUMIFS(Rezultatai!$J$2:$J$500,Rezultatai!$B$2:$B$500,$K19,Rezultatai!$A$2:$A$500,$C$2,Rezultatai!$D$2:$D$500,"Papildomi (R+)"),0.15*(SUMIFS(Rezultatai!$J$2:$J$500,Rezultatai!$B$2:$B$500,$K19,Rezultatai!$A$2:$A$500,$C$2,Rezultatai!$D$2:$D$500,"&lt;&gt;Papildomi (R+)"))))*MIN(550,450+(1/35)*(SUMIFS(Parametrai!$B$2:$B$40,Parametrai!$A$2:$A$40,$C$2)-2500)))</f>
        <v>388.93665980380285</v>
      </c>
      <c r="P19" s="18">
        <f t="shared" si="7"/>
        <v>657.70687496341475</v>
      </c>
      <c r="Q19" s="17">
        <f t="shared" si="8"/>
        <v>12</v>
      </c>
      <c r="R19" s="17">
        <f>IF($K19="","",IF($F$2="Pilotas",SUMPRODUCT(($K$6:$K$105&lt;&gt;"")*($K$6:$K$105&lt;$K19))+COUNTIF($K$6:$K19,$K19),IF($F$2="Klubas",SUMPRODUCT(($K$6:$K$105&lt;&gt;"")*($L$6:$L$105&lt;$L19))+SUMPRODUCT(($K$6:$K$105&lt;&gt;"")*($L$6:$L$105=$L19)*($Q$6:$Q$105&lt;$Q19))+COUNTIFS($L$6:$L19,$L19,$Q$6:$Q19,$Q19),IF($F$2="Nr",COUNTIF($K$6:$K19,"?*"),$Q19+COUNTIF($Q$6:$Q19,$Q19)-1))))</f>
        <v>12</v>
      </c>
    </row>
    <row r="20" spans="1:18" ht="15" customHeight="1" x14ac:dyDescent="0.3">
      <c r="A20" s="13">
        <f>IFERROR(MATCH(15,$R$6:$R$105,0),"")</f>
        <v>20</v>
      </c>
      <c r="B20" s="13" t="str">
        <f t="shared" si="0"/>
        <v>Edita Skalskienė</v>
      </c>
      <c r="C20" s="13" t="str">
        <f t="shared" si="1"/>
        <v>Kauno AASK</v>
      </c>
      <c r="D20" s="14">
        <f t="shared" si="2"/>
        <v>310.72633947405433</v>
      </c>
      <c r="E20" s="14">
        <f t="shared" si="3"/>
        <v>0</v>
      </c>
      <c r="F20" s="14">
        <f t="shared" si="4"/>
        <v>210.62129102579627</v>
      </c>
      <c r="G20" s="15">
        <f t="shared" si="5"/>
        <v>521.34763049985054</v>
      </c>
      <c r="H20" s="16">
        <f t="shared" si="6"/>
        <v>15</v>
      </c>
      <c r="K20" s="17" t="str">
        <f>IF(Pilotai!B16="","",Pilotai!B16)</f>
        <v>Artūras Klimašauskas</v>
      </c>
      <c r="L20" s="17" t="str">
        <f>IF($K20="","",Pilotai!C16)</f>
        <v>Aeroklubas Vertikalė</v>
      </c>
      <c r="M20" s="18">
        <f>IF($K20="","",(SUMIFS(Rezultatai!$J$2:$J$500,Rezultatai!$B$2:$B$500,$K20,Rezultatai!$A$2:$A$500,$C$2-2,Rezultatai!$D$2:$D$500,"&lt;&gt;Papildomi (R+)")+MIN(SUMIFS(Rezultatai!$J$2:$J$500,Rezultatai!$B$2:$B$500,$K20,Rezultatai!$A$2:$A$500,$C$2-2,Rezultatai!$D$2:$D$500,"Papildomi (R+)"),0.15*(SUMIFS(Rezultatai!$J$2:$J$500,Rezultatai!$B$2:$B$500,$K20,Rezultatai!$A$2:$A$500,$C$2-2,Rezultatai!$D$2:$D$500,"&lt;&gt;Papildomi (R+)"))))*MIN(425,375+(1/70)*(SUMIFS(Parametrai!$B$2:$B$40,Parametrai!$A$2:$A$40,$C$2-2)-2500)))</f>
        <v>267.99324989452958</v>
      </c>
      <c r="N20" s="18">
        <f>IF($K20="","",(SUMIFS(Rezultatai!$J$2:$J$500,Rezultatai!$B$2:$B$500,$K20,Rezultatai!$A$2:$A$500,$C$2-1,Rezultatai!$D$2:$D$500,"&lt;&gt;Papildomi (R+)")+MIN(SUMIFS(Rezultatai!$J$2:$J$500,Rezultatai!$B$2:$B$500,$K20,Rezultatai!$A$2:$A$500,$C$2-1,Rezultatai!$D$2:$D$500,"Papildomi (R+)"),0.15*(SUMIFS(Rezultatai!$J$2:$J$500,Rezultatai!$B$2:$B$500,$K20,Rezultatai!$A$2:$A$500,$C$2-1,Rezultatai!$D$2:$D$500,"&lt;&gt;Papildomi (R+)"))))*MIN(450,400+(1/70)*(SUMIFS(Parametrai!$B$2:$B$40,Parametrai!$A$2:$A$40,$C$2-1)-2500)))</f>
        <v>243.74745762711865</v>
      </c>
      <c r="O20" s="18">
        <f>IF($K20="","",(SUMIFS(Rezultatai!$J$2:$J$500,Rezultatai!$B$2:$B$500,$K20,Rezultatai!$A$2:$A$500,$C$2,Rezultatai!$D$2:$D$500,"&lt;&gt;Papildomi (R+)")+MIN(SUMIFS(Rezultatai!$J$2:$J$500,Rezultatai!$B$2:$B$500,$K20,Rezultatai!$A$2:$A$500,$C$2,Rezultatai!$D$2:$D$500,"Papildomi (R+)"),0.15*(SUMIFS(Rezultatai!$J$2:$J$500,Rezultatai!$B$2:$B$500,$K20,Rezultatai!$A$2:$A$500,$C$2,Rezultatai!$D$2:$D$500,"&lt;&gt;Papildomi (R+)"))))*MIN(550,450+(1/35)*(SUMIFS(Parametrai!$B$2:$B$40,Parametrai!$A$2:$A$40,$C$2)-2500)))</f>
        <v>300.2119413830689</v>
      </c>
      <c r="P20" s="18">
        <f t="shared" si="7"/>
        <v>568.20519127759849</v>
      </c>
      <c r="Q20" s="17">
        <f t="shared" si="8"/>
        <v>14</v>
      </c>
      <c r="R20" s="17">
        <f>IF($K20="","",IF($F$2="Pilotas",SUMPRODUCT(($K$6:$K$105&lt;&gt;"")*($K$6:$K$105&lt;$K20))+COUNTIF($K$6:$K20,$K20),IF($F$2="Klubas",SUMPRODUCT(($K$6:$K$105&lt;&gt;"")*($L$6:$L$105&lt;$L20))+SUMPRODUCT(($K$6:$K$105&lt;&gt;"")*($L$6:$L$105=$L20)*($Q$6:$Q$105&lt;$Q20))+COUNTIFS($L$6:$L20,$L20,$Q$6:$Q20,$Q20),IF($F$2="Nr",COUNTIF($K$6:$K20,"?*"),$Q20+COUNTIF($Q$6:$Q20,$Q20)-1))))</f>
        <v>14</v>
      </c>
    </row>
    <row r="21" spans="1:18" ht="15" customHeight="1" x14ac:dyDescent="0.3">
      <c r="A21" s="13">
        <f>IFERROR(MATCH(16,$R$6:$R$105,0),"")</f>
        <v>18</v>
      </c>
      <c r="B21" s="13" t="str">
        <f t="shared" si="0"/>
        <v>Gintas Zubė</v>
      </c>
      <c r="C21" s="13" t="str">
        <f t="shared" si="1"/>
        <v>Pamario Sklandytojų Klubas</v>
      </c>
      <c r="D21" s="14">
        <f t="shared" si="2"/>
        <v>0</v>
      </c>
      <c r="E21" s="14">
        <f t="shared" si="3"/>
        <v>0</v>
      </c>
      <c r="F21" s="14">
        <f t="shared" si="4"/>
        <v>433.43223931209883</v>
      </c>
      <c r="G21" s="15">
        <f t="shared" si="5"/>
        <v>433.43223931209883</v>
      </c>
      <c r="H21" s="16">
        <f t="shared" si="6"/>
        <v>16</v>
      </c>
      <c r="K21" s="17" t="str">
        <f>IF(Pilotai!B17="","",Pilotai!B17)</f>
        <v>Ričardas Jurkus</v>
      </c>
      <c r="L21" s="17" t="str">
        <f>IF($K21="","",Pilotai!C17)</f>
        <v>Vilniaus Aeroklubas</v>
      </c>
      <c r="M21" s="18">
        <f>IF($K21="","",(SUMIFS(Rezultatai!$J$2:$J$500,Rezultatai!$B$2:$B$500,$K21,Rezultatai!$A$2:$A$500,$C$2-2,Rezultatai!$D$2:$D$500,"&lt;&gt;Papildomi (R+)")+MIN(SUMIFS(Rezultatai!$J$2:$J$500,Rezultatai!$B$2:$B$500,$K21,Rezultatai!$A$2:$A$500,$C$2-2,Rezultatai!$D$2:$D$500,"Papildomi (R+)"),0.15*(SUMIFS(Rezultatai!$J$2:$J$500,Rezultatai!$B$2:$B$500,$K21,Rezultatai!$A$2:$A$500,$C$2-2,Rezultatai!$D$2:$D$500,"&lt;&gt;Papildomi (R+)"))))*MIN(425,375+(1/70)*(SUMIFS(Parametrai!$B$2:$B$40,Parametrai!$A$2:$A$40,$C$2-2)-2500)))</f>
        <v>0</v>
      </c>
      <c r="N21" s="18">
        <f>IF($K21="","",(SUMIFS(Rezultatai!$J$2:$J$500,Rezultatai!$B$2:$B$500,$K21,Rezultatai!$A$2:$A$500,$C$2-1,Rezultatai!$D$2:$D$500,"&lt;&gt;Papildomi (R+)")+MIN(SUMIFS(Rezultatai!$J$2:$J$500,Rezultatai!$B$2:$B$500,$K21,Rezultatai!$A$2:$A$500,$C$2-1,Rezultatai!$D$2:$D$500,"Papildomi (R+)"),0.15*(SUMIFS(Rezultatai!$J$2:$J$500,Rezultatai!$B$2:$B$500,$K21,Rezultatai!$A$2:$A$500,$C$2-1,Rezultatai!$D$2:$D$500,"&lt;&gt;Papildomi (R+)"))))*MIN(450,400+(1/70)*(SUMIFS(Parametrai!$B$2:$B$40,Parametrai!$A$2:$A$40,$C$2-1)-2500)))</f>
        <v>329.4406779661017</v>
      </c>
      <c r="O21" s="18">
        <f>IF($K21="","",(SUMIFS(Rezultatai!$J$2:$J$500,Rezultatai!$B$2:$B$500,$K21,Rezultatai!$A$2:$A$500,$C$2,Rezultatai!$D$2:$D$500,"&lt;&gt;Papildomi (R+)")+MIN(SUMIFS(Rezultatai!$J$2:$J$500,Rezultatai!$B$2:$B$500,$K21,Rezultatai!$A$2:$A$500,$C$2,Rezultatai!$D$2:$D$500,"Papildomi (R+)"),0.15*(SUMIFS(Rezultatai!$J$2:$J$500,Rezultatai!$B$2:$B$500,$K21,Rezultatai!$A$2:$A$500,$C$2,Rezultatai!$D$2:$D$500,"&lt;&gt;Papildomi (R+)"))))*MIN(550,450+(1/35)*(SUMIFS(Parametrai!$B$2:$B$40,Parametrai!$A$2:$A$40,$C$2)-2500)))</f>
        <v>0</v>
      </c>
      <c r="P21" s="18">
        <f t="shared" si="7"/>
        <v>329.4406779661017</v>
      </c>
      <c r="Q21" s="17">
        <f t="shared" si="8"/>
        <v>19</v>
      </c>
      <c r="R21" s="17">
        <f>IF($K21="","",IF($F$2="Pilotas",SUMPRODUCT(($K$6:$K$105&lt;&gt;"")*($K$6:$K$105&lt;$K21))+COUNTIF($K$6:$K21,$K21),IF($F$2="Klubas",SUMPRODUCT(($K$6:$K$105&lt;&gt;"")*($L$6:$L$105&lt;$L21))+SUMPRODUCT(($K$6:$K$105&lt;&gt;"")*($L$6:$L$105=$L21)*($Q$6:$Q$105&lt;$Q21))+COUNTIFS($L$6:$L21,$L21,$Q$6:$Q21,$Q21),IF($F$2="Nr",COUNTIF($K$6:$K21,"?*"),$Q21+COUNTIF($Q$6:$Q21,$Q21)-1))))</f>
        <v>19</v>
      </c>
    </row>
    <row r="22" spans="1:18" ht="15" customHeight="1" x14ac:dyDescent="0.3">
      <c r="A22" s="13">
        <f>IFERROR(MATCH(17,$R$6:$R$105,0),"")</f>
        <v>6</v>
      </c>
      <c r="B22" s="13" t="str">
        <f t="shared" si="0"/>
        <v>Karolis Mikalauskas</v>
      </c>
      <c r="C22" s="13" t="str">
        <f t="shared" si="1"/>
        <v>Vilniaus Aeroklubas</v>
      </c>
      <c r="D22" s="14">
        <f t="shared" si="2"/>
        <v>420.87610743917872</v>
      </c>
      <c r="E22" s="14">
        <f t="shared" si="3"/>
        <v>0</v>
      </c>
      <c r="F22" s="14">
        <f t="shared" si="4"/>
        <v>0</v>
      </c>
      <c r="G22" s="15">
        <f t="shared" si="5"/>
        <v>420.87610743917872</v>
      </c>
      <c r="H22" s="16">
        <f t="shared" si="6"/>
        <v>17</v>
      </c>
      <c r="K22" s="17" t="str">
        <f>IF(Pilotai!B18="","",Pilotai!B18)</f>
        <v>Aleksandras Bateika</v>
      </c>
      <c r="L22" s="17" t="str">
        <f>IF($K22="","",Pilotai!C18)</f>
        <v>Kauno AASK</v>
      </c>
      <c r="M22" s="18">
        <f>IF($K22="","",(SUMIFS(Rezultatai!$J$2:$J$500,Rezultatai!$B$2:$B$500,$K22,Rezultatai!$A$2:$A$500,$C$2-2,Rezultatai!$D$2:$D$500,"&lt;&gt;Papildomi (R+)")+MIN(SUMIFS(Rezultatai!$J$2:$J$500,Rezultatai!$B$2:$B$500,$K22,Rezultatai!$A$2:$A$500,$C$2-2,Rezultatai!$D$2:$D$500,"Papildomi (R+)"),0.15*(SUMIFS(Rezultatai!$J$2:$J$500,Rezultatai!$B$2:$B$500,$K22,Rezultatai!$A$2:$A$500,$C$2-2,Rezultatai!$D$2:$D$500,"&lt;&gt;Papildomi (R+)"))))*MIN(425,375+(1/70)*(SUMIFS(Parametrai!$B$2:$B$40,Parametrai!$A$2:$A$40,$C$2-2)-2500)))</f>
        <v>162.44550696104628</v>
      </c>
      <c r="N22" s="18">
        <f>IF($K22="","",(SUMIFS(Rezultatai!$J$2:$J$500,Rezultatai!$B$2:$B$500,$K22,Rezultatai!$A$2:$A$500,$C$2-1,Rezultatai!$D$2:$D$500,"&lt;&gt;Papildomi (R+)")+MIN(SUMIFS(Rezultatai!$J$2:$J$500,Rezultatai!$B$2:$B$500,$K22,Rezultatai!$A$2:$A$500,$C$2-1,Rezultatai!$D$2:$D$500,"Papildomi (R+)"),0.15*(SUMIFS(Rezultatai!$J$2:$J$500,Rezultatai!$B$2:$B$500,$K22,Rezultatai!$A$2:$A$500,$C$2-1,Rezultatai!$D$2:$D$500,"&lt;&gt;Papildomi (R+)"))))*MIN(450,400+(1/70)*(SUMIFS(Parametrai!$B$2:$B$40,Parametrai!$A$2:$A$40,$C$2-1)-2500)))</f>
        <v>253.21525423728812</v>
      </c>
      <c r="O22" s="18">
        <f>IF($K22="","",(SUMIFS(Rezultatai!$J$2:$J$500,Rezultatai!$B$2:$B$500,$K22,Rezultatai!$A$2:$A$500,$C$2,Rezultatai!$D$2:$D$500,"&lt;&gt;Papildomi (R+)")+MIN(SUMIFS(Rezultatai!$J$2:$J$500,Rezultatai!$B$2:$B$500,$K22,Rezultatai!$A$2:$A$500,$C$2,Rezultatai!$D$2:$D$500,"Papildomi (R+)"),0.15*(SUMIFS(Rezultatai!$J$2:$J$500,Rezultatai!$B$2:$B$500,$K22,Rezultatai!$A$2:$A$500,$C$2,Rezultatai!$D$2:$D$500,"&lt;&gt;Papildomi (R+)"))))*MIN(550,450+(1/35)*(SUMIFS(Parametrai!$B$2:$B$40,Parametrai!$A$2:$A$40,$C$2)-2500)))</f>
        <v>344.84074118929396</v>
      </c>
      <c r="P22" s="18">
        <f t="shared" si="7"/>
        <v>598.05599542658206</v>
      </c>
      <c r="Q22" s="17">
        <f t="shared" si="8"/>
        <v>13</v>
      </c>
      <c r="R22" s="17">
        <f>IF($K22="","",IF($F$2="Pilotas",SUMPRODUCT(($K$6:$K$105&lt;&gt;"")*($K$6:$K$105&lt;$K22))+COUNTIF($K$6:$K22,$K22),IF($F$2="Klubas",SUMPRODUCT(($K$6:$K$105&lt;&gt;"")*($L$6:$L$105&lt;$L22))+SUMPRODUCT(($K$6:$K$105&lt;&gt;"")*($L$6:$L$105=$L22)*($Q$6:$Q$105&lt;$Q22))+COUNTIFS($L$6:$L22,$L22,$Q$6:$Q22,$Q22),IF($F$2="Nr",COUNTIF($K$6:$K22,"?*"),$Q22+COUNTIF($Q$6:$Q22,$Q22)-1))))</f>
        <v>13</v>
      </c>
    </row>
    <row r="23" spans="1:18" ht="15" customHeight="1" x14ac:dyDescent="0.3">
      <c r="A23" s="13">
        <f>IFERROR(MATCH(18,$R$6:$R$105,0),"")</f>
        <v>9</v>
      </c>
      <c r="B23" s="13" t="str">
        <f t="shared" si="0"/>
        <v>Gintaras Drevinskas</v>
      </c>
      <c r="C23" s="13" t="str">
        <f t="shared" si="1"/>
        <v>Biržų Aeroklubas</v>
      </c>
      <c r="D23" s="14">
        <f t="shared" si="2"/>
        <v>407.01026578540291</v>
      </c>
      <c r="E23" s="14">
        <f t="shared" si="3"/>
        <v>0</v>
      </c>
      <c r="F23" s="14">
        <f t="shared" si="4"/>
        <v>0</v>
      </c>
      <c r="G23" s="15">
        <f t="shared" si="5"/>
        <v>407.01026578540291</v>
      </c>
      <c r="H23" s="16">
        <f t="shared" si="6"/>
        <v>18</v>
      </c>
      <c r="K23" s="17" t="str">
        <f>IF(Pilotai!B19="","",Pilotai!B19)</f>
        <v>Gintas Zubė</v>
      </c>
      <c r="L23" s="17" t="str">
        <f>IF($K23="","",Pilotai!C19)</f>
        <v>Pamario Sklandytojų Klubas</v>
      </c>
      <c r="M23" s="18">
        <f>IF($K23="","",(SUMIFS(Rezultatai!$J$2:$J$500,Rezultatai!$B$2:$B$500,$K23,Rezultatai!$A$2:$A$500,$C$2-2,Rezultatai!$D$2:$D$500,"&lt;&gt;Papildomi (R+)")+MIN(SUMIFS(Rezultatai!$J$2:$J$500,Rezultatai!$B$2:$B$500,$K23,Rezultatai!$A$2:$A$500,$C$2-2,Rezultatai!$D$2:$D$500,"Papildomi (R+)"),0.15*(SUMIFS(Rezultatai!$J$2:$J$500,Rezultatai!$B$2:$B$500,$K23,Rezultatai!$A$2:$A$500,$C$2-2,Rezultatai!$D$2:$D$500,"&lt;&gt;Papildomi (R+)"))))*MIN(425,375+(1/70)*(SUMIFS(Parametrai!$B$2:$B$40,Parametrai!$A$2:$A$40,$C$2-2)-2500)))</f>
        <v>0</v>
      </c>
      <c r="N23" s="18">
        <f>IF($K23="","",(SUMIFS(Rezultatai!$J$2:$J$500,Rezultatai!$B$2:$B$500,$K23,Rezultatai!$A$2:$A$500,$C$2-1,Rezultatai!$D$2:$D$500,"&lt;&gt;Papildomi (R+)")+MIN(SUMIFS(Rezultatai!$J$2:$J$500,Rezultatai!$B$2:$B$500,$K23,Rezultatai!$A$2:$A$500,$C$2-1,Rezultatai!$D$2:$D$500,"Papildomi (R+)"),0.15*(SUMIFS(Rezultatai!$J$2:$J$500,Rezultatai!$B$2:$B$500,$K23,Rezultatai!$A$2:$A$500,$C$2-1,Rezultatai!$D$2:$D$500,"&lt;&gt;Papildomi (R+)"))))*MIN(450,400+(1/70)*(SUMIFS(Parametrai!$B$2:$B$40,Parametrai!$A$2:$A$40,$C$2-1)-2500)))</f>
        <v>0</v>
      </c>
      <c r="O23" s="18">
        <f>IF($K23="","",(SUMIFS(Rezultatai!$J$2:$J$500,Rezultatai!$B$2:$B$500,$K23,Rezultatai!$A$2:$A$500,$C$2,Rezultatai!$D$2:$D$500,"&lt;&gt;Papildomi (R+)")+MIN(SUMIFS(Rezultatai!$J$2:$J$500,Rezultatai!$B$2:$B$500,$K23,Rezultatai!$A$2:$A$500,$C$2,Rezultatai!$D$2:$D$500,"Papildomi (R+)"),0.15*(SUMIFS(Rezultatai!$J$2:$J$500,Rezultatai!$B$2:$B$500,$K23,Rezultatai!$A$2:$A$500,$C$2,Rezultatai!$D$2:$D$500,"&lt;&gt;Papildomi (R+)"))))*MIN(550,450+(1/35)*(SUMIFS(Parametrai!$B$2:$B$40,Parametrai!$A$2:$A$40,$C$2)-2500)))</f>
        <v>433.43223931209883</v>
      </c>
      <c r="P23" s="18">
        <f t="shared" si="7"/>
        <v>433.43223931209883</v>
      </c>
      <c r="Q23" s="17">
        <f t="shared" si="8"/>
        <v>16</v>
      </c>
      <c r="R23" s="17">
        <f>IF($K23="","",IF($F$2="Pilotas",SUMPRODUCT(($K$6:$K$105&lt;&gt;"")*($K$6:$K$105&lt;$K23))+COUNTIF($K$6:$K23,$K23),IF($F$2="Klubas",SUMPRODUCT(($K$6:$K$105&lt;&gt;"")*($L$6:$L$105&lt;$L23))+SUMPRODUCT(($K$6:$K$105&lt;&gt;"")*($L$6:$L$105=$L23)*($Q$6:$Q$105&lt;$Q23))+COUNTIFS($L$6:$L23,$L23,$Q$6:$Q23,$Q23),IF($F$2="Nr",COUNTIF($K$6:$K23,"?*"),$Q23+COUNTIF($Q$6:$Q23,$Q23)-1))))</f>
        <v>16</v>
      </c>
    </row>
    <row r="24" spans="1:18" ht="15" customHeight="1" x14ac:dyDescent="0.3">
      <c r="A24" s="13">
        <f>IFERROR(MATCH(19,$R$6:$R$105,0),"")</f>
        <v>16</v>
      </c>
      <c r="B24" s="13" t="str">
        <f t="shared" si="0"/>
        <v>Ričardas Jurkus</v>
      </c>
      <c r="C24" s="13" t="str">
        <f t="shared" si="1"/>
        <v>Vilniaus Aeroklubas</v>
      </c>
      <c r="D24" s="14">
        <f t="shared" si="2"/>
        <v>0</v>
      </c>
      <c r="E24" s="14">
        <f t="shared" si="3"/>
        <v>329.4406779661017</v>
      </c>
      <c r="F24" s="14">
        <f t="shared" si="4"/>
        <v>0</v>
      </c>
      <c r="G24" s="15">
        <f t="shared" si="5"/>
        <v>329.4406779661017</v>
      </c>
      <c r="H24" s="16">
        <f t="shared" si="6"/>
        <v>19</v>
      </c>
      <c r="K24" s="17" t="str">
        <f>IF(Pilotai!B20="","",Pilotai!B20)</f>
        <v>Titas Jovaiša</v>
      </c>
      <c r="L24" s="17" t="str">
        <f>IF($K24="","",Pilotai!C20)</f>
        <v>Kauno AASK</v>
      </c>
      <c r="M24" s="18">
        <f>IF($K24="","",(SUMIFS(Rezultatai!$J$2:$J$500,Rezultatai!$B$2:$B$500,$K24,Rezultatai!$A$2:$A$500,$C$2-2,Rezultatai!$D$2:$D$500,"&lt;&gt;Papildomi (R+)")+MIN(SUMIFS(Rezultatai!$J$2:$J$500,Rezultatai!$B$2:$B$500,$K24,Rezultatai!$A$2:$A$500,$C$2-2,Rezultatai!$D$2:$D$500,"Papildomi (R+)"),0.15*(SUMIFS(Rezultatai!$J$2:$J$500,Rezultatai!$B$2:$B$500,$K24,Rezultatai!$A$2:$A$500,$C$2-2,Rezultatai!$D$2:$D$500,"&lt;&gt;Papildomi (R+)"))))*MIN(425,375+(1/70)*(SUMIFS(Parametrai!$B$2:$B$40,Parametrai!$A$2:$A$40,$C$2-2)-2500)))</f>
        <v>0</v>
      </c>
      <c r="N24" s="18">
        <f>IF($K24="","",(SUMIFS(Rezultatai!$J$2:$J$500,Rezultatai!$B$2:$B$500,$K24,Rezultatai!$A$2:$A$500,$C$2-1,Rezultatai!$D$2:$D$500,"&lt;&gt;Papildomi (R+)")+MIN(SUMIFS(Rezultatai!$J$2:$J$500,Rezultatai!$B$2:$B$500,$K24,Rezultatai!$A$2:$A$500,$C$2-1,Rezultatai!$D$2:$D$500,"Papildomi (R+)"),0.15*(SUMIFS(Rezultatai!$J$2:$J$500,Rezultatai!$B$2:$B$500,$K24,Rezultatai!$A$2:$A$500,$C$2-1,Rezultatai!$D$2:$D$500,"&lt;&gt;Papildomi (R+)"))))*MIN(450,400+(1/70)*(SUMIFS(Parametrai!$B$2:$B$40,Parametrai!$A$2:$A$40,$C$2-1)-2500)))</f>
        <v>288.76779661016951</v>
      </c>
      <c r="O24" s="18">
        <f>IF($K24="","",(SUMIFS(Rezultatai!$J$2:$J$500,Rezultatai!$B$2:$B$500,$K24,Rezultatai!$A$2:$A$500,$C$2,Rezultatai!$D$2:$D$500,"&lt;&gt;Papildomi (R+)")+MIN(SUMIFS(Rezultatai!$J$2:$J$500,Rezultatai!$B$2:$B$500,$K24,Rezultatai!$A$2:$A$500,$C$2,Rezultatai!$D$2:$D$500,"Papildomi (R+)"),0.15*(SUMIFS(Rezultatai!$J$2:$J$500,Rezultatai!$B$2:$B$500,$K24,Rezultatai!$A$2:$A$500,$C$2,Rezultatai!$D$2:$D$500,"&lt;&gt;Papildomi (R+)"))))*MIN(550,450+(1/35)*(SUMIFS(Parametrai!$B$2:$B$40,Parametrai!$A$2:$A$40,$C$2)-2500)))</f>
        <v>0</v>
      </c>
      <c r="P24" s="18">
        <f t="shared" si="7"/>
        <v>288.76779661016951</v>
      </c>
      <c r="Q24" s="17">
        <f t="shared" si="8"/>
        <v>20</v>
      </c>
      <c r="R24" s="17">
        <f>IF($K24="","",IF($F$2="Pilotas",SUMPRODUCT(($K$6:$K$105&lt;&gt;"")*($K$6:$K$105&lt;$K24))+COUNTIF($K$6:$K24,$K24),IF($F$2="Klubas",SUMPRODUCT(($K$6:$K$105&lt;&gt;"")*($L$6:$L$105&lt;$L24))+SUMPRODUCT(($K$6:$K$105&lt;&gt;"")*($L$6:$L$105=$L24)*($Q$6:$Q$105&lt;$Q24))+COUNTIFS($L$6:$L24,$L24,$Q$6:$Q24,$Q24),IF($F$2="Nr",COUNTIF($K$6:$K24,"?*"),$Q24+COUNTIF($Q$6:$Q24,$Q24)-1))))</f>
        <v>20</v>
      </c>
    </row>
    <row r="25" spans="1:18" ht="15" customHeight="1" x14ac:dyDescent="0.3">
      <c r="A25" s="13">
        <f>IFERROR(MATCH(20,$R$6:$R$105,0),"")</f>
        <v>19</v>
      </c>
      <c r="B25" s="13" t="str">
        <f t="shared" si="0"/>
        <v>Titas Jovaiša</v>
      </c>
      <c r="C25" s="13" t="str">
        <f t="shared" si="1"/>
        <v>Kauno AASK</v>
      </c>
      <c r="D25" s="14">
        <f t="shared" si="2"/>
        <v>0</v>
      </c>
      <c r="E25" s="14">
        <f t="shared" si="3"/>
        <v>288.76779661016951</v>
      </c>
      <c r="F25" s="14">
        <f t="shared" si="4"/>
        <v>0</v>
      </c>
      <c r="G25" s="15">
        <f t="shared" si="5"/>
        <v>288.76779661016951</v>
      </c>
      <c r="H25" s="16">
        <f t="shared" si="6"/>
        <v>20</v>
      </c>
      <c r="K25" s="17" t="str">
        <f>IF(Pilotai!B21="","",Pilotai!B21)</f>
        <v>Edita Skalskienė</v>
      </c>
      <c r="L25" s="17" t="str">
        <f>IF($K25="","",Pilotai!C21)</f>
        <v>Kauno AASK</v>
      </c>
      <c r="M25" s="18">
        <f>IF($K25="","",(SUMIFS(Rezultatai!$J$2:$J$500,Rezultatai!$B$2:$B$500,$K25,Rezultatai!$A$2:$A$500,$C$2-2,Rezultatai!$D$2:$D$500,"&lt;&gt;Papildomi (R+)")+MIN(SUMIFS(Rezultatai!$J$2:$J$500,Rezultatai!$B$2:$B$500,$K25,Rezultatai!$A$2:$A$500,$C$2-2,Rezultatai!$D$2:$D$500,"Papildomi (R+)"),0.15*(SUMIFS(Rezultatai!$J$2:$J$500,Rezultatai!$B$2:$B$500,$K25,Rezultatai!$A$2:$A$500,$C$2-2,Rezultatai!$D$2:$D$500,"&lt;&gt;Papildomi (R+)"))))*MIN(425,375+(1/70)*(SUMIFS(Parametrai!$B$2:$B$40,Parametrai!$A$2:$A$40,$C$2-2)-2500)))</f>
        <v>310.72633947405433</v>
      </c>
      <c r="N25" s="18">
        <f>IF($K25="","",(SUMIFS(Rezultatai!$J$2:$J$500,Rezultatai!$B$2:$B$500,$K25,Rezultatai!$A$2:$A$500,$C$2-1,Rezultatai!$D$2:$D$500,"&lt;&gt;Papildomi (R+)")+MIN(SUMIFS(Rezultatai!$J$2:$J$500,Rezultatai!$B$2:$B$500,$K25,Rezultatai!$A$2:$A$500,$C$2-1,Rezultatai!$D$2:$D$500,"Papildomi (R+)"),0.15*(SUMIFS(Rezultatai!$J$2:$J$500,Rezultatai!$B$2:$B$500,$K25,Rezultatai!$A$2:$A$500,$C$2-1,Rezultatai!$D$2:$D$500,"&lt;&gt;Papildomi (R+)"))))*MIN(450,400+(1/70)*(SUMIFS(Parametrai!$B$2:$B$40,Parametrai!$A$2:$A$40,$C$2-1)-2500)))</f>
        <v>0</v>
      </c>
      <c r="O25" s="18">
        <f>IF($K25="","",(SUMIFS(Rezultatai!$J$2:$J$500,Rezultatai!$B$2:$B$500,$K25,Rezultatai!$A$2:$A$500,$C$2,Rezultatai!$D$2:$D$500,"&lt;&gt;Papildomi (R+)")+MIN(SUMIFS(Rezultatai!$J$2:$J$500,Rezultatai!$B$2:$B$500,$K25,Rezultatai!$A$2:$A$500,$C$2,Rezultatai!$D$2:$D$500,"Papildomi (R+)"),0.15*(SUMIFS(Rezultatai!$J$2:$J$500,Rezultatai!$B$2:$B$500,$K25,Rezultatai!$A$2:$A$500,$C$2,Rezultatai!$D$2:$D$500,"&lt;&gt;Papildomi (R+)"))))*MIN(550,450+(1/35)*(SUMIFS(Parametrai!$B$2:$B$40,Parametrai!$A$2:$A$40,$C$2)-2500)))</f>
        <v>210.62129102579627</v>
      </c>
      <c r="P25" s="18">
        <f t="shared" si="7"/>
        <v>521.34763049985054</v>
      </c>
      <c r="Q25" s="17">
        <f t="shared" si="8"/>
        <v>15</v>
      </c>
      <c r="R25" s="17">
        <f>IF($K25="","",IF($F$2="Pilotas",SUMPRODUCT(($K$6:$K$105&lt;&gt;"")*($K$6:$K$105&lt;$K25))+COUNTIF($K$6:$K25,$K25),IF($F$2="Klubas",SUMPRODUCT(($K$6:$K$105&lt;&gt;"")*($L$6:$L$105&lt;$L25))+SUMPRODUCT(($K$6:$K$105&lt;&gt;"")*($L$6:$L$105=$L25)*($Q$6:$Q$105&lt;$Q25))+COUNTIFS($L$6:$L25,$L25,$Q$6:$Q25,$Q25),IF($F$2="Nr",COUNTIF($K$6:$K25,"?*"),$Q25+COUNTIF($Q$6:$Q25,$Q25)-1))))</f>
        <v>15</v>
      </c>
    </row>
    <row r="26" spans="1:18" ht="15" customHeight="1" x14ac:dyDescent="0.3">
      <c r="A26" s="13">
        <f>IFERROR(MATCH(21,$R$6:$R$105,0),"")</f>
        <v>23</v>
      </c>
      <c r="B26" s="13" t="str">
        <f t="shared" si="0"/>
        <v>Vytautas Paulauskas</v>
      </c>
      <c r="C26" s="13" t="str">
        <f t="shared" si="1"/>
        <v>Kauno AASK</v>
      </c>
      <c r="D26" s="14">
        <f t="shared" si="2"/>
        <v>90.606103220362812</v>
      </c>
      <c r="E26" s="14">
        <f t="shared" si="3"/>
        <v>0</v>
      </c>
      <c r="F26" s="14">
        <f t="shared" si="4"/>
        <v>114.50284607000121</v>
      </c>
      <c r="G26" s="15">
        <f t="shared" si="5"/>
        <v>205.10894929036402</v>
      </c>
      <c r="H26" s="16">
        <f t="shared" si="6"/>
        <v>21</v>
      </c>
      <c r="K26" s="17" t="str">
        <f>IF(Pilotai!B22="","",Pilotai!B22)</f>
        <v>Gintautas Butnoris</v>
      </c>
      <c r="L26" s="17" t="str">
        <f>IF($K26="","",Pilotai!C22)</f>
        <v>Panevėžys</v>
      </c>
      <c r="M26" s="18">
        <f>IF($K26="","",(SUMIFS(Rezultatai!$J$2:$J$500,Rezultatai!$B$2:$B$500,$K26,Rezultatai!$A$2:$A$500,$C$2-2,Rezultatai!$D$2:$D$500,"&lt;&gt;Papildomi (R+)")+MIN(SUMIFS(Rezultatai!$J$2:$J$500,Rezultatai!$B$2:$B$500,$K26,Rezultatai!$A$2:$A$500,$C$2-2,Rezultatai!$D$2:$D$500,"Papildomi (R+)"),0.15*(SUMIFS(Rezultatai!$J$2:$J$500,Rezultatai!$B$2:$B$500,$K26,Rezultatai!$A$2:$A$500,$C$2-2,Rezultatai!$D$2:$D$500,"&lt;&gt;Papildomi (R+)"))))*MIN(425,375+(1/70)*(SUMIFS(Parametrai!$B$2:$B$40,Parametrai!$A$2:$A$40,$C$2-2)-2500)))</f>
        <v>0</v>
      </c>
      <c r="N26" s="18">
        <f>IF($K26="","",(SUMIFS(Rezultatai!$J$2:$J$500,Rezultatai!$B$2:$B$500,$K26,Rezultatai!$A$2:$A$500,$C$2-1,Rezultatai!$D$2:$D$500,"&lt;&gt;Papildomi (R+)")+MIN(SUMIFS(Rezultatai!$J$2:$J$500,Rezultatai!$B$2:$B$500,$K26,Rezultatai!$A$2:$A$500,$C$2-1,Rezultatai!$D$2:$D$500,"Papildomi (R+)"),0.15*(SUMIFS(Rezultatai!$J$2:$J$500,Rezultatai!$B$2:$B$500,$K26,Rezultatai!$A$2:$A$500,$C$2-1,Rezultatai!$D$2:$D$500,"&lt;&gt;Papildomi (R+)"))))*MIN(450,400+(1/70)*(SUMIFS(Parametrai!$B$2:$B$40,Parametrai!$A$2:$A$40,$C$2-1)-2500)))</f>
        <v>0</v>
      </c>
      <c r="O26" s="18">
        <f>IF($K26="","",(SUMIFS(Rezultatai!$J$2:$J$500,Rezultatai!$B$2:$B$500,$K26,Rezultatai!$A$2:$A$500,$C$2,Rezultatai!$D$2:$D$500,"&lt;&gt;Papildomi (R+)")+MIN(SUMIFS(Rezultatai!$J$2:$J$500,Rezultatai!$B$2:$B$500,$K26,Rezultatai!$A$2:$A$500,$C$2,Rezultatai!$D$2:$D$500,"Papildomi (R+)"),0.15*(SUMIFS(Rezultatai!$J$2:$J$500,Rezultatai!$B$2:$B$500,$K26,Rezultatai!$A$2:$A$500,$C$2,Rezultatai!$D$2:$D$500,"&lt;&gt;Papildomi (R+)"))))*MIN(550,450+(1/35)*(SUMIFS(Parametrai!$B$2:$B$40,Parametrai!$A$2:$A$40,$C$2)-2500)))</f>
        <v>0</v>
      </c>
      <c r="P26" s="18">
        <f t="shared" si="7"/>
        <v>0</v>
      </c>
      <c r="Q26" s="17">
        <f t="shared" si="8"/>
        <v>23</v>
      </c>
      <c r="R26" s="17">
        <f>IF($K26="","",IF($F$2="Pilotas",SUMPRODUCT(($K$6:$K$105&lt;&gt;"")*($K$6:$K$105&lt;$K26))+COUNTIF($K$6:$K26,$K26),IF($F$2="Klubas",SUMPRODUCT(($K$6:$K$105&lt;&gt;"")*($L$6:$L$105&lt;$L26))+SUMPRODUCT(($K$6:$K$105&lt;&gt;"")*($L$6:$L$105=$L26)*($Q$6:$Q$105&lt;$Q26))+COUNTIFS($L$6:$L26,$L26,$Q$6:$Q26,$Q26),IF($F$2="Nr",COUNTIF($K$6:$K26,"?*"),$Q26+COUNTIF($Q$6:$Q26,$Q26)-1))))</f>
        <v>23</v>
      </c>
    </row>
    <row r="27" spans="1:18" ht="15" customHeight="1" x14ac:dyDescent="0.3">
      <c r="A27" s="13">
        <f>IFERROR(MATCH(22,$R$6:$R$105,0),"")</f>
        <v>25</v>
      </c>
      <c r="B27" s="13" t="str">
        <f t="shared" si="0"/>
        <v>Voldemars Gavars</v>
      </c>
      <c r="C27" s="13" t="str">
        <f t="shared" si="1"/>
        <v>Latvija</v>
      </c>
      <c r="D27" s="14">
        <f t="shared" si="2"/>
        <v>106.68330755168049</v>
      </c>
      <c r="E27" s="14">
        <f t="shared" si="3"/>
        <v>0</v>
      </c>
      <c r="F27" s="14">
        <f t="shared" si="4"/>
        <v>0</v>
      </c>
      <c r="G27" s="15">
        <f t="shared" si="5"/>
        <v>106.68330755168049</v>
      </c>
      <c r="H27" s="16">
        <f t="shared" si="6"/>
        <v>22</v>
      </c>
      <c r="K27" s="17" t="str">
        <f>IF(Pilotai!B23="","",Pilotai!B23)</f>
        <v>Mindaugas Žaliukas</v>
      </c>
      <c r="L27" s="17" t="str">
        <f>IF($K27="","",Pilotai!C23)</f>
        <v>Kauno AASK</v>
      </c>
      <c r="M27" s="18">
        <f>IF($K27="","",(SUMIFS(Rezultatai!$J$2:$J$500,Rezultatai!$B$2:$B$500,$K27,Rezultatai!$A$2:$A$500,$C$2-2,Rezultatai!$D$2:$D$500,"&lt;&gt;Papildomi (R+)")+MIN(SUMIFS(Rezultatai!$J$2:$J$500,Rezultatai!$B$2:$B$500,$K27,Rezultatai!$A$2:$A$500,$C$2-2,Rezultatai!$D$2:$D$500,"Papildomi (R+)"),0.15*(SUMIFS(Rezultatai!$J$2:$J$500,Rezultatai!$B$2:$B$500,$K27,Rezultatai!$A$2:$A$500,$C$2-2,Rezultatai!$D$2:$D$500,"&lt;&gt;Papildomi (R+)"))))*MIN(425,375+(1/70)*(SUMIFS(Parametrai!$B$2:$B$40,Parametrai!$A$2:$A$40,$C$2-2)-2500)))</f>
        <v>0</v>
      </c>
      <c r="N27" s="18">
        <f>IF($K27="","",(SUMIFS(Rezultatai!$J$2:$J$500,Rezultatai!$B$2:$B$500,$K27,Rezultatai!$A$2:$A$500,$C$2-1,Rezultatai!$D$2:$D$500,"&lt;&gt;Papildomi (R+)")+MIN(SUMIFS(Rezultatai!$J$2:$J$500,Rezultatai!$B$2:$B$500,$K27,Rezultatai!$A$2:$A$500,$C$2-1,Rezultatai!$D$2:$D$500,"Papildomi (R+)"),0.15*(SUMIFS(Rezultatai!$J$2:$J$500,Rezultatai!$B$2:$B$500,$K27,Rezultatai!$A$2:$A$500,$C$2-1,Rezultatai!$D$2:$D$500,"&lt;&gt;Papildomi (R+)"))))*MIN(450,400+(1/70)*(SUMIFS(Parametrai!$B$2:$B$40,Parametrai!$A$2:$A$40,$C$2-1)-2500)))</f>
        <v>0</v>
      </c>
      <c r="O27" s="18">
        <f>IF($K27="","",(SUMIFS(Rezultatai!$J$2:$J$500,Rezultatai!$B$2:$B$500,$K27,Rezultatai!$A$2:$A$500,$C$2,Rezultatai!$D$2:$D$500,"&lt;&gt;Papildomi (R+)")+MIN(SUMIFS(Rezultatai!$J$2:$J$500,Rezultatai!$B$2:$B$500,$K27,Rezultatai!$A$2:$A$500,$C$2,Rezultatai!$D$2:$D$500,"Papildomi (R+)"),0.15*(SUMIFS(Rezultatai!$J$2:$J$500,Rezultatai!$B$2:$B$500,$K27,Rezultatai!$A$2:$A$500,$C$2,Rezultatai!$D$2:$D$500,"&lt;&gt;Papildomi (R+)"))))*MIN(550,450+(1/35)*(SUMIFS(Parametrai!$B$2:$B$40,Parametrai!$A$2:$A$40,$C$2)-2500)))</f>
        <v>0</v>
      </c>
      <c r="P27" s="18">
        <f t="shared" si="7"/>
        <v>0</v>
      </c>
      <c r="Q27" s="17">
        <f t="shared" si="8"/>
        <v>23</v>
      </c>
      <c r="R27" s="17">
        <f>IF($K27="","",IF($F$2="Pilotas",SUMPRODUCT(($K$6:$K$105&lt;&gt;"")*($K$6:$K$105&lt;$K27))+COUNTIF($K$6:$K27,$K27),IF($F$2="Klubas",SUMPRODUCT(($K$6:$K$105&lt;&gt;"")*($L$6:$L$105&lt;$L27))+SUMPRODUCT(($K$6:$K$105&lt;&gt;"")*($L$6:$L$105=$L27)*($Q$6:$Q$105&lt;$Q27))+COUNTIFS($L$6:$L27,$L27,$Q$6:$Q27,$Q27),IF($F$2="Nr",COUNTIF($K$6:$K27,"?*"),$Q27+COUNTIF($Q$6:$Q27,$Q27)-1))))</f>
        <v>24</v>
      </c>
    </row>
    <row r="28" spans="1:18" ht="15" customHeight="1" x14ac:dyDescent="0.3">
      <c r="A28" s="13">
        <f>IFERROR(MATCH(23,$R$6:$R$105,0),"")</f>
        <v>21</v>
      </c>
      <c r="B28" s="13" t="str">
        <f t="shared" si="0"/>
        <v>Gintautas Butnoris</v>
      </c>
      <c r="C28" s="13" t="str">
        <f t="shared" si="1"/>
        <v>Panevėžys</v>
      </c>
      <c r="D28" s="14">
        <f t="shared" si="2"/>
        <v>0</v>
      </c>
      <c r="E28" s="14">
        <f t="shared" si="3"/>
        <v>0</v>
      </c>
      <c r="F28" s="14">
        <f t="shared" si="4"/>
        <v>0</v>
      </c>
      <c r="G28" s="15">
        <f t="shared" si="5"/>
        <v>0</v>
      </c>
      <c r="H28" s="16">
        <f t="shared" si="6"/>
        <v>23</v>
      </c>
      <c r="K28" s="17" t="str">
        <f>IF(Pilotai!B24="","",Pilotai!B24)</f>
        <v>Vytautas Paulauskas</v>
      </c>
      <c r="L28" s="17" t="str">
        <f>IF($K28="","",Pilotai!C24)</f>
        <v>Kauno AASK</v>
      </c>
      <c r="M28" s="18">
        <f>IF($K28="","",(SUMIFS(Rezultatai!$J$2:$J$500,Rezultatai!$B$2:$B$500,$K28,Rezultatai!$A$2:$A$500,$C$2-2,Rezultatai!$D$2:$D$500,"&lt;&gt;Papildomi (R+)")+MIN(SUMIFS(Rezultatai!$J$2:$J$500,Rezultatai!$B$2:$B$500,$K28,Rezultatai!$A$2:$A$500,$C$2-2,Rezultatai!$D$2:$D$500,"Papildomi (R+)"),0.15*(SUMIFS(Rezultatai!$J$2:$J$500,Rezultatai!$B$2:$B$500,$K28,Rezultatai!$A$2:$A$500,$C$2-2,Rezultatai!$D$2:$D$500,"&lt;&gt;Papildomi (R+)"))))*MIN(425,375+(1/70)*(SUMIFS(Parametrai!$B$2:$B$40,Parametrai!$A$2:$A$40,$C$2-2)-2500)))</f>
        <v>90.606103220362812</v>
      </c>
      <c r="N28" s="18">
        <f>IF($K28="","",(SUMIFS(Rezultatai!$J$2:$J$500,Rezultatai!$B$2:$B$500,$K28,Rezultatai!$A$2:$A$500,$C$2-1,Rezultatai!$D$2:$D$500,"&lt;&gt;Papildomi (R+)")+MIN(SUMIFS(Rezultatai!$J$2:$J$500,Rezultatai!$B$2:$B$500,$K28,Rezultatai!$A$2:$A$500,$C$2-1,Rezultatai!$D$2:$D$500,"Papildomi (R+)"),0.15*(SUMIFS(Rezultatai!$J$2:$J$500,Rezultatai!$B$2:$B$500,$K28,Rezultatai!$A$2:$A$500,$C$2-1,Rezultatai!$D$2:$D$500,"&lt;&gt;Papildomi (R+)"))))*MIN(450,400+(1/70)*(SUMIFS(Parametrai!$B$2:$B$40,Parametrai!$A$2:$A$40,$C$2-1)-2500)))</f>
        <v>0</v>
      </c>
      <c r="O28" s="18">
        <f>IF($K28="","",(SUMIFS(Rezultatai!$J$2:$J$500,Rezultatai!$B$2:$B$500,$K28,Rezultatai!$A$2:$A$500,$C$2,Rezultatai!$D$2:$D$500,"&lt;&gt;Papildomi (R+)")+MIN(SUMIFS(Rezultatai!$J$2:$J$500,Rezultatai!$B$2:$B$500,$K28,Rezultatai!$A$2:$A$500,$C$2,Rezultatai!$D$2:$D$500,"Papildomi (R+)"),0.15*(SUMIFS(Rezultatai!$J$2:$J$500,Rezultatai!$B$2:$B$500,$K28,Rezultatai!$A$2:$A$500,$C$2,Rezultatai!$D$2:$D$500,"&lt;&gt;Papildomi (R+)"))))*MIN(550,450+(1/35)*(SUMIFS(Parametrai!$B$2:$B$40,Parametrai!$A$2:$A$40,$C$2)-2500)))</f>
        <v>114.50284607000121</v>
      </c>
      <c r="P28" s="18">
        <f t="shared" si="7"/>
        <v>205.10894929036402</v>
      </c>
      <c r="Q28" s="17">
        <f t="shared" si="8"/>
        <v>21</v>
      </c>
      <c r="R28" s="17">
        <f>IF($K28="","",IF($F$2="Pilotas",SUMPRODUCT(($K$6:$K$105&lt;&gt;"")*($K$6:$K$105&lt;$K28))+COUNTIF($K$6:$K28,$K28),IF($F$2="Klubas",SUMPRODUCT(($K$6:$K$105&lt;&gt;"")*($L$6:$L$105&lt;$L28))+SUMPRODUCT(($K$6:$K$105&lt;&gt;"")*($L$6:$L$105=$L28)*($Q$6:$Q$105&lt;$Q28))+COUNTIFS($L$6:$L28,$L28,$Q$6:$Q28,$Q28),IF($F$2="Nr",COUNTIF($K$6:$K28,"?*"),$Q28+COUNTIF($Q$6:$Q28,$Q28)-1))))</f>
        <v>21</v>
      </c>
    </row>
    <row r="29" spans="1:18" ht="15" customHeight="1" x14ac:dyDescent="0.3">
      <c r="A29" s="13">
        <f>IFERROR(MATCH(24,$R$6:$R$105,0),"")</f>
        <v>22</v>
      </c>
      <c r="B29" s="13" t="str">
        <f t="shared" si="0"/>
        <v>Mindaugas Žaliukas</v>
      </c>
      <c r="C29" s="13" t="str">
        <f t="shared" si="1"/>
        <v>Kauno AASK</v>
      </c>
      <c r="D29" s="14">
        <f t="shared" si="2"/>
        <v>0</v>
      </c>
      <c r="E29" s="14">
        <f t="shared" si="3"/>
        <v>0</v>
      </c>
      <c r="F29" s="14">
        <f t="shared" si="4"/>
        <v>0</v>
      </c>
      <c r="G29" s="15">
        <f t="shared" si="5"/>
        <v>0</v>
      </c>
      <c r="H29" s="16">
        <f t="shared" si="6"/>
        <v>23</v>
      </c>
      <c r="K29" s="17" t="str">
        <f>IF(Pilotai!B25="","",Pilotai!B25)</f>
        <v>Aidas Kasputis</v>
      </c>
      <c r="L29" s="17" t="str">
        <f>IF($K29="","",Pilotai!C25)</f>
        <v>Šiauliai</v>
      </c>
      <c r="M29" s="18">
        <f>IF($K29="","",(SUMIFS(Rezultatai!$J$2:$J$500,Rezultatai!$B$2:$B$500,$K29,Rezultatai!$A$2:$A$500,$C$2-2,Rezultatai!$D$2:$D$500,"&lt;&gt;Papildomi (R+)")+MIN(SUMIFS(Rezultatai!$J$2:$J$500,Rezultatai!$B$2:$B$500,$K29,Rezultatai!$A$2:$A$500,$C$2-2,Rezultatai!$D$2:$D$500,"Papildomi (R+)"),0.15*(SUMIFS(Rezultatai!$J$2:$J$500,Rezultatai!$B$2:$B$500,$K29,Rezultatai!$A$2:$A$500,$C$2-2,Rezultatai!$D$2:$D$500,"&lt;&gt;Papildomi (R+)"))))*MIN(425,375+(1/70)*(SUMIFS(Parametrai!$B$2:$B$40,Parametrai!$A$2:$A$40,$C$2-2)-2500)))</f>
        <v>0</v>
      </c>
      <c r="N29" s="18">
        <f>IF($K29="","",(SUMIFS(Rezultatai!$J$2:$J$500,Rezultatai!$B$2:$B$500,$K29,Rezultatai!$A$2:$A$500,$C$2-1,Rezultatai!$D$2:$D$500,"&lt;&gt;Papildomi (R+)")+MIN(SUMIFS(Rezultatai!$J$2:$J$500,Rezultatai!$B$2:$B$500,$K29,Rezultatai!$A$2:$A$500,$C$2-1,Rezultatai!$D$2:$D$500,"Papildomi (R+)"),0.15*(SUMIFS(Rezultatai!$J$2:$J$500,Rezultatai!$B$2:$B$500,$K29,Rezultatai!$A$2:$A$500,$C$2-1,Rezultatai!$D$2:$D$500,"&lt;&gt;Papildomi (R+)"))))*MIN(450,400+(1/70)*(SUMIFS(Parametrai!$B$2:$B$40,Parametrai!$A$2:$A$40,$C$2-1)-2500)))</f>
        <v>0</v>
      </c>
      <c r="O29" s="18">
        <f>IF($K29="","",(SUMIFS(Rezultatai!$J$2:$J$500,Rezultatai!$B$2:$B$500,$K29,Rezultatai!$A$2:$A$500,$C$2,Rezultatai!$D$2:$D$500,"&lt;&gt;Papildomi (R+)")+MIN(SUMIFS(Rezultatai!$J$2:$J$500,Rezultatai!$B$2:$B$500,$K29,Rezultatai!$A$2:$A$500,$C$2,Rezultatai!$D$2:$D$500,"Papildomi (R+)"),0.15*(SUMIFS(Rezultatai!$J$2:$J$500,Rezultatai!$B$2:$B$500,$K29,Rezultatai!$A$2:$A$500,$C$2,Rezultatai!$D$2:$D$500,"&lt;&gt;Papildomi (R+)"))))*MIN(550,450+(1/35)*(SUMIFS(Parametrai!$B$2:$B$40,Parametrai!$A$2:$A$40,$C$2)-2500)))</f>
        <v>0</v>
      </c>
      <c r="P29" s="18">
        <f t="shared" si="7"/>
        <v>0</v>
      </c>
      <c r="Q29" s="17">
        <f t="shared" si="8"/>
        <v>23</v>
      </c>
      <c r="R29" s="17">
        <f>IF($K29="","",IF($F$2="Pilotas",SUMPRODUCT(($K$6:$K$105&lt;&gt;"")*($K$6:$K$105&lt;$K29))+COUNTIF($K$6:$K29,$K29),IF($F$2="Klubas",SUMPRODUCT(($K$6:$K$105&lt;&gt;"")*($L$6:$L$105&lt;$L29))+SUMPRODUCT(($K$6:$K$105&lt;&gt;"")*($L$6:$L$105=$L29)*($Q$6:$Q$105&lt;$Q29))+COUNTIFS($L$6:$L29,$L29,$Q$6:$Q29,$Q29),IF($F$2="Nr",COUNTIF($K$6:$K29,"?*"),$Q29+COUNTIF($Q$6:$Q29,$Q29)-1))))</f>
        <v>25</v>
      </c>
    </row>
    <row r="30" spans="1:18" ht="15" customHeight="1" x14ac:dyDescent="0.3">
      <c r="A30" s="13">
        <f>IFERROR(MATCH(25,$R$6:$R$105,0),"")</f>
        <v>24</v>
      </c>
      <c r="B30" s="13" t="str">
        <f t="shared" si="0"/>
        <v>Aidas Kasputis</v>
      </c>
      <c r="C30" s="13" t="str">
        <f t="shared" si="1"/>
        <v>Šiauliai</v>
      </c>
      <c r="D30" s="14">
        <f t="shared" si="2"/>
        <v>0</v>
      </c>
      <c r="E30" s="14">
        <f t="shared" si="3"/>
        <v>0</v>
      </c>
      <c r="F30" s="14">
        <f t="shared" si="4"/>
        <v>0</v>
      </c>
      <c r="G30" s="15">
        <f t="shared" si="5"/>
        <v>0</v>
      </c>
      <c r="H30" s="16">
        <f t="shared" si="6"/>
        <v>23</v>
      </c>
      <c r="K30" s="17" t="str">
        <f>IF(Pilotai!B26="","",Pilotai!B26)</f>
        <v>Voldemars Gavars</v>
      </c>
      <c r="L30" s="17" t="str">
        <f>IF($K30="","",Pilotai!C26)</f>
        <v>Latvija</v>
      </c>
      <c r="M30" s="18">
        <f>IF($K30="","",(SUMIFS(Rezultatai!$J$2:$J$500,Rezultatai!$B$2:$B$500,$K30,Rezultatai!$A$2:$A$500,$C$2-2,Rezultatai!$D$2:$D$500,"&lt;&gt;Papildomi (R+)")+MIN(SUMIFS(Rezultatai!$J$2:$J$500,Rezultatai!$B$2:$B$500,$K30,Rezultatai!$A$2:$A$500,$C$2-2,Rezultatai!$D$2:$D$500,"Papildomi (R+)"),0.15*(SUMIFS(Rezultatai!$J$2:$J$500,Rezultatai!$B$2:$B$500,$K30,Rezultatai!$A$2:$A$500,$C$2-2,Rezultatai!$D$2:$D$500,"&lt;&gt;Papildomi (R+)"))))*MIN(425,375+(1/70)*(SUMIFS(Parametrai!$B$2:$B$40,Parametrai!$A$2:$A$40,$C$2-2)-2500)))</f>
        <v>106.68330755168049</v>
      </c>
      <c r="N30" s="18">
        <f>IF($K30="","",(SUMIFS(Rezultatai!$J$2:$J$500,Rezultatai!$B$2:$B$500,$K30,Rezultatai!$A$2:$A$500,$C$2-1,Rezultatai!$D$2:$D$500,"&lt;&gt;Papildomi (R+)")+MIN(SUMIFS(Rezultatai!$J$2:$J$500,Rezultatai!$B$2:$B$500,$K30,Rezultatai!$A$2:$A$500,$C$2-1,Rezultatai!$D$2:$D$500,"Papildomi (R+)"),0.15*(SUMIFS(Rezultatai!$J$2:$J$500,Rezultatai!$B$2:$B$500,$K30,Rezultatai!$A$2:$A$500,$C$2-1,Rezultatai!$D$2:$D$500,"&lt;&gt;Papildomi (R+)"))))*MIN(450,400+(1/70)*(SUMIFS(Parametrai!$B$2:$B$40,Parametrai!$A$2:$A$40,$C$2-1)-2500)))</f>
        <v>0</v>
      </c>
      <c r="O30" s="18">
        <f>IF($K30="","",(SUMIFS(Rezultatai!$J$2:$J$500,Rezultatai!$B$2:$B$500,$K30,Rezultatai!$A$2:$A$500,$C$2,Rezultatai!$D$2:$D$500,"&lt;&gt;Papildomi (R+)")+MIN(SUMIFS(Rezultatai!$J$2:$J$500,Rezultatai!$B$2:$B$500,$K30,Rezultatai!$A$2:$A$500,$C$2,Rezultatai!$D$2:$D$500,"Papildomi (R+)"),0.15*(SUMIFS(Rezultatai!$J$2:$J$500,Rezultatai!$B$2:$B$500,$K30,Rezultatai!$A$2:$A$500,$C$2,Rezultatai!$D$2:$D$500,"&lt;&gt;Papildomi (R+)"))))*MIN(550,450+(1/35)*(SUMIFS(Parametrai!$B$2:$B$40,Parametrai!$A$2:$A$40,$C$2)-2500)))</f>
        <v>0</v>
      </c>
      <c r="P30" s="18">
        <f t="shared" si="7"/>
        <v>106.68330755168049</v>
      </c>
      <c r="Q30" s="17">
        <f t="shared" si="8"/>
        <v>22</v>
      </c>
      <c r="R30" s="17">
        <f>IF($K30="","",IF($F$2="Pilotas",SUMPRODUCT(($K$6:$K$105&lt;&gt;"")*($K$6:$K$105&lt;$K30))+COUNTIF($K$6:$K30,$K30),IF($F$2="Klubas",SUMPRODUCT(($K$6:$K$105&lt;&gt;"")*($L$6:$L$105&lt;$L30))+SUMPRODUCT(($K$6:$K$105&lt;&gt;"")*($L$6:$L$105=$L30)*($Q$6:$Q$105&lt;$Q30))+COUNTIFS($L$6:$L30,$L30,$Q$6:$Q30,$Q30),IF($F$2="Nr",COUNTIF($K$6:$K30,"?*"),$Q30+COUNTIF($Q$6:$Q30,$Q30)-1))))</f>
        <v>22</v>
      </c>
    </row>
    <row r="31" spans="1:18" ht="15" customHeight="1" x14ac:dyDescent="0.3">
      <c r="A31" s="13">
        <f>IFERROR(MATCH(26,$R$6:$R$105,0),"")</f>
        <v>26</v>
      </c>
      <c r="B31" s="13" t="str">
        <f t="shared" si="0"/>
        <v>Tomas Kuzmickas</v>
      </c>
      <c r="C31" s="13" t="str">
        <f t="shared" si="1"/>
        <v>Vilniaus Aeroklubas</v>
      </c>
      <c r="D31" s="14">
        <f t="shared" si="2"/>
        <v>0</v>
      </c>
      <c r="E31" s="14">
        <f t="shared" si="3"/>
        <v>0</v>
      </c>
      <c r="F31" s="14">
        <f t="shared" si="4"/>
        <v>0</v>
      </c>
      <c r="G31" s="15">
        <f t="shared" si="5"/>
        <v>0</v>
      </c>
      <c r="H31" s="16">
        <f t="shared" si="6"/>
        <v>23</v>
      </c>
      <c r="K31" s="17" t="str">
        <f>IF(Pilotai!B27="","",Pilotai!B27)</f>
        <v>Tomas Kuzmickas</v>
      </c>
      <c r="L31" s="17" t="str">
        <f>IF($K31="","",Pilotai!C27)</f>
        <v>Vilniaus Aeroklubas</v>
      </c>
      <c r="M31" s="18">
        <f>IF($K31="","",(SUMIFS(Rezultatai!$J$2:$J$500,Rezultatai!$B$2:$B$500,$K31,Rezultatai!$A$2:$A$500,$C$2-2,Rezultatai!$D$2:$D$500,"&lt;&gt;Papildomi (R+)")+MIN(SUMIFS(Rezultatai!$J$2:$J$500,Rezultatai!$B$2:$B$500,$K31,Rezultatai!$A$2:$A$500,$C$2-2,Rezultatai!$D$2:$D$500,"Papildomi (R+)"),0.15*(SUMIFS(Rezultatai!$J$2:$J$500,Rezultatai!$B$2:$B$500,$K31,Rezultatai!$A$2:$A$500,$C$2-2,Rezultatai!$D$2:$D$500,"&lt;&gt;Papildomi (R+)"))))*MIN(425,375+(1/70)*(SUMIFS(Parametrai!$B$2:$B$40,Parametrai!$A$2:$A$40,$C$2-2)-2500)))</f>
        <v>0</v>
      </c>
      <c r="N31" s="18">
        <f>IF($K31="","",(SUMIFS(Rezultatai!$J$2:$J$500,Rezultatai!$B$2:$B$500,$K31,Rezultatai!$A$2:$A$500,$C$2-1,Rezultatai!$D$2:$D$500,"&lt;&gt;Papildomi (R+)")+MIN(SUMIFS(Rezultatai!$J$2:$J$500,Rezultatai!$B$2:$B$500,$K31,Rezultatai!$A$2:$A$500,$C$2-1,Rezultatai!$D$2:$D$500,"Papildomi (R+)"),0.15*(SUMIFS(Rezultatai!$J$2:$J$500,Rezultatai!$B$2:$B$500,$K31,Rezultatai!$A$2:$A$500,$C$2-1,Rezultatai!$D$2:$D$500,"&lt;&gt;Papildomi (R+)"))))*MIN(450,400+(1/70)*(SUMIFS(Parametrai!$B$2:$B$40,Parametrai!$A$2:$A$40,$C$2-1)-2500)))</f>
        <v>0</v>
      </c>
      <c r="O31" s="18">
        <f>IF($K31="","",(SUMIFS(Rezultatai!$J$2:$J$500,Rezultatai!$B$2:$B$500,$K31,Rezultatai!$A$2:$A$500,$C$2,Rezultatai!$D$2:$D$500,"&lt;&gt;Papildomi (R+)")+MIN(SUMIFS(Rezultatai!$J$2:$J$500,Rezultatai!$B$2:$B$500,$K31,Rezultatai!$A$2:$A$500,$C$2,Rezultatai!$D$2:$D$500,"Papildomi (R+)"),0.15*(SUMIFS(Rezultatai!$J$2:$J$500,Rezultatai!$B$2:$B$500,$K31,Rezultatai!$A$2:$A$500,$C$2,Rezultatai!$D$2:$D$500,"&lt;&gt;Papildomi (R+)"))))*MIN(550,450+(1/35)*(SUMIFS(Parametrai!$B$2:$B$40,Parametrai!$A$2:$A$40,$C$2)-2500)))</f>
        <v>0</v>
      </c>
      <c r="P31" s="18">
        <f t="shared" si="7"/>
        <v>0</v>
      </c>
      <c r="Q31" s="17">
        <f t="shared" si="8"/>
        <v>23</v>
      </c>
      <c r="R31" s="17">
        <f>IF($K31="","",IF($F$2="Pilotas",SUMPRODUCT(($K$6:$K$105&lt;&gt;"")*($K$6:$K$105&lt;$K31))+COUNTIF($K$6:$K31,$K31),IF($F$2="Klubas",SUMPRODUCT(($K$6:$K$105&lt;&gt;"")*($L$6:$L$105&lt;$L31))+SUMPRODUCT(($K$6:$K$105&lt;&gt;"")*($L$6:$L$105=$L31)*($Q$6:$Q$105&lt;$Q31))+COUNTIFS($L$6:$L31,$L31,$Q$6:$Q31,$Q31),IF($F$2="Nr",COUNTIF($K$6:$K31,"?*"),$Q31+COUNTIF($Q$6:$Q31,$Q31)-1))))</f>
        <v>26</v>
      </c>
    </row>
    <row r="32" spans="1:18" ht="15" customHeight="1" x14ac:dyDescent="0.3">
      <c r="A32" s="13">
        <f>IFERROR(MATCH(27,$R$6:$R$105,0),"")</f>
        <v>27</v>
      </c>
      <c r="B32" s="13" t="str">
        <f t="shared" si="0"/>
        <v>Algirdas Šimoliunas</v>
      </c>
      <c r="C32" s="13" t="str">
        <f t="shared" si="1"/>
        <v>Panevėžys</v>
      </c>
      <c r="D32" s="14">
        <f t="shared" si="2"/>
        <v>0</v>
      </c>
      <c r="E32" s="14">
        <f t="shared" si="3"/>
        <v>0</v>
      </c>
      <c r="F32" s="14">
        <f t="shared" si="4"/>
        <v>0</v>
      </c>
      <c r="G32" s="15">
        <f t="shared" si="5"/>
        <v>0</v>
      </c>
      <c r="H32" s="16">
        <f t="shared" si="6"/>
        <v>23</v>
      </c>
      <c r="K32" s="17" t="str">
        <f>IF(Pilotai!B28="","",Pilotai!B28)</f>
        <v>Algirdas Šimoliunas</v>
      </c>
      <c r="L32" s="17" t="str">
        <f>IF($K32="","",Pilotai!C28)</f>
        <v>Panevėžys</v>
      </c>
      <c r="M32" s="18">
        <f>IF($K32="","",(SUMIFS(Rezultatai!$J$2:$J$500,Rezultatai!$B$2:$B$500,$K32,Rezultatai!$A$2:$A$500,$C$2-2,Rezultatai!$D$2:$D$500,"&lt;&gt;Papildomi (R+)")+MIN(SUMIFS(Rezultatai!$J$2:$J$500,Rezultatai!$B$2:$B$500,$K32,Rezultatai!$A$2:$A$500,$C$2-2,Rezultatai!$D$2:$D$500,"Papildomi (R+)"),0.15*(SUMIFS(Rezultatai!$J$2:$J$500,Rezultatai!$B$2:$B$500,$K32,Rezultatai!$A$2:$A$500,$C$2-2,Rezultatai!$D$2:$D$500,"&lt;&gt;Papildomi (R+)"))))*MIN(425,375+(1/70)*(SUMIFS(Parametrai!$B$2:$B$40,Parametrai!$A$2:$A$40,$C$2-2)-2500)))</f>
        <v>0</v>
      </c>
      <c r="N32" s="18">
        <f>IF($K32="","",(SUMIFS(Rezultatai!$J$2:$J$500,Rezultatai!$B$2:$B$500,$K32,Rezultatai!$A$2:$A$500,$C$2-1,Rezultatai!$D$2:$D$500,"&lt;&gt;Papildomi (R+)")+MIN(SUMIFS(Rezultatai!$J$2:$J$500,Rezultatai!$B$2:$B$500,$K32,Rezultatai!$A$2:$A$500,$C$2-1,Rezultatai!$D$2:$D$500,"Papildomi (R+)"),0.15*(SUMIFS(Rezultatai!$J$2:$J$500,Rezultatai!$B$2:$B$500,$K32,Rezultatai!$A$2:$A$500,$C$2-1,Rezultatai!$D$2:$D$500,"&lt;&gt;Papildomi (R+)"))))*MIN(450,400+(1/70)*(SUMIFS(Parametrai!$B$2:$B$40,Parametrai!$A$2:$A$40,$C$2-1)-2500)))</f>
        <v>0</v>
      </c>
      <c r="O32" s="18">
        <f>IF($K32="","",(SUMIFS(Rezultatai!$J$2:$J$500,Rezultatai!$B$2:$B$500,$K32,Rezultatai!$A$2:$A$500,$C$2,Rezultatai!$D$2:$D$500,"&lt;&gt;Papildomi (R+)")+MIN(SUMIFS(Rezultatai!$J$2:$J$500,Rezultatai!$B$2:$B$500,$K32,Rezultatai!$A$2:$A$500,$C$2,Rezultatai!$D$2:$D$500,"Papildomi (R+)"),0.15*(SUMIFS(Rezultatai!$J$2:$J$500,Rezultatai!$B$2:$B$500,$K32,Rezultatai!$A$2:$A$500,$C$2,Rezultatai!$D$2:$D$500,"&lt;&gt;Papildomi (R+)"))))*MIN(550,450+(1/35)*(SUMIFS(Parametrai!$B$2:$B$40,Parametrai!$A$2:$A$40,$C$2)-2500)))</f>
        <v>0</v>
      </c>
      <c r="P32" s="18">
        <f t="shared" si="7"/>
        <v>0</v>
      </c>
      <c r="Q32" s="17">
        <f t="shared" si="8"/>
        <v>23</v>
      </c>
      <c r="R32" s="17">
        <f>IF($K32="","",IF($F$2="Pilotas",SUMPRODUCT(($K$6:$K$105&lt;&gt;"")*($K$6:$K$105&lt;$K32))+COUNTIF($K$6:$K32,$K32),IF($F$2="Klubas",SUMPRODUCT(($K$6:$K$105&lt;&gt;"")*($L$6:$L$105&lt;$L32))+SUMPRODUCT(($K$6:$K$105&lt;&gt;"")*($L$6:$L$105=$L32)*($Q$6:$Q$105&lt;$Q32))+COUNTIFS($L$6:$L32,$L32,$Q$6:$Q32,$Q32),IF($F$2="Nr",COUNTIF($K$6:$K32,"?*"),$Q32+COUNTIF($Q$6:$Q32,$Q32)-1))))</f>
        <v>27</v>
      </c>
    </row>
    <row r="33" spans="1:18" ht="15" customHeight="1" x14ac:dyDescent="0.3">
      <c r="A33" s="13">
        <f>IFERROR(MATCH(28,$R$6:$R$105,0),"")</f>
        <v>28</v>
      </c>
      <c r="B33" s="13" t="str">
        <f t="shared" si="0"/>
        <v>Donatas Povilionis</v>
      </c>
      <c r="C33" s="13" t="str">
        <f t="shared" si="1"/>
        <v>Vilniaus Aeroklubas</v>
      </c>
      <c r="D33" s="14">
        <f t="shared" si="2"/>
        <v>0</v>
      </c>
      <c r="E33" s="14">
        <f t="shared" si="3"/>
        <v>0</v>
      </c>
      <c r="F33" s="14">
        <f t="shared" si="4"/>
        <v>0</v>
      </c>
      <c r="G33" s="15">
        <f t="shared" si="5"/>
        <v>0</v>
      </c>
      <c r="H33" s="16">
        <f t="shared" si="6"/>
        <v>23</v>
      </c>
      <c r="K33" s="17" t="str">
        <f>IF(Pilotai!B29="","",Pilotai!B29)</f>
        <v>Donatas Povilionis</v>
      </c>
      <c r="L33" s="17" t="str">
        <f>IF($K33="","",Pilotai!C29)</f>
        <v>Vilniaus Aeroklubas</v>
      </c>
      <c r="M33" s="18">
        <f>IF($K33="","",(SUMIFS(Rezultatai!$J$2:$J$500,Rezultatai!$B$2:$B$500,$K33,Rezultatai!$A$2:$A$500,$C$2-2,Rezultatai!$D$2:$D$500,"&lt;&gt;Papildomi (R+)")+MIN(SUMIFS(Rezultatai!$J$2:$J$500,Rezultatai!$B$2:$B$500,$K33,Rezultatai!$A$2:$A$500,$C$2-2,Rezultatai!$D$2:$D$500,"Papildomi (R+)"),0.15*(SUMIFS(Rezultatai!$J$2:$J$500,Rezultatai!$B$2:$B$500,$K33,Rezultatai!$A$2:$A$500,$C$2-2,Rezultatai!$D$2:$D$500,"&lt;&gt;Papildomi (R+)"))))*MIN(425,375+(1/70)*(SUMIFS(Parametrai!$B$2:$B$40,Parametrai!$A$2:$A$40,$C$2-2)-2500)))</f>
        <v>0</v>
      </c>
      <c r="N33" s="18">
        <f>IF($K33="","",(SUMIFS(Rezultatai!$J$2:$J$500,Rezultatai!$B$2:$B$500,$K33,Rezultatai!$A$2:$A$500,$C$2-1,Rezultatai!$D$2:$D$500,"&lt;&gt;Papildomi (R+)")+MIN(SUMIFS(Rezultatai!$J$2:$J$500,Rezultatai!$B$2:$B$500,$K33,Rezultatai!$A$2:$A$500,$C$2-1,Rezultatai!$D$2:$D$500,"Papildomi (R+)"),0.15*(SUMIFS(Rezultatai!$J$2:$J$500,Rezultatai!$B$2:$B$500,$K33,Rezultatai!$A$2:$A$500,$C$2-1,Rezultatai!$D$2:$D$500,"&lt;&gt;Papildomi (R+)"))))*MIN(450,400+(1/70)*(SUMIFS(Parametrai!$B$2:$B$40,Parametrai!$A$2:$A$40,$C$2-1)-2500)))</f>
        <v>0</v>
      </c>
      <c r="O33" s="18">
        <f>IF($K33="","",(SUMIFS(Rezultatai!$J$2:$J$500,Rezultatai!$B$2:$B$500,$K33,Rezultatai!$A$2:$A$500,$C$2,Rezultatai!$D$2:$D$500,"&lt;&gt;Papildomi (R+)")+MIN(SUMIFS(Rezultatai!$J$2:$J$500,Rezultatai!$B$2:$B$500,$K33,Rezultatai!$A$2:$A$500,$C$2,Rezultatai!$D$2:$D$500,"Papildomi (R+)"),0.15*(SUMIFS(Rezultatai!$J$2:$J$500,Rezultatai!$B$2:$B$500,$K33,Rezultatai!$A$2:$A$500,$C$2,Rezultatai!$D$2:$D$500,"&lt;&gt;Papildomi (R+)"))))*MIN(550,450+(1/35)*(SUMIFS(Parametrai!$B$2:$B$40,Parametrai!$A$2:$A$40,$C$2)-2500)))</f>
        <v>0</v>
      </c>
      <c r="P33" s="18">
        <f t="shared" si="7"/>
        <v>0</v>
      </c>
      <c r="Q33" s="17">
        <f t="shared" si="8"/>
        <v>23</v>
      </c>
      <c r="R33" s="17">
        <f>IF($K33="","",IF($F$2="Pilotas",SUMPRODUCT(($K$6:$K$105&lt;&gt;"")*($K$6:$K$105&lt;$K33))+COUNTIF($K$6:$K33,$K33),IF($F$2="Klubas",SUMPRODUCT(($K$6:$K$105&lt;&gt;"")*($L$6:$L$105&lt;$L33))+SUMPRODUCT(($K$6:$K$105&lt;&gt;"")*($L$6:$L$105=$L33)*($Q$6:$Q$105&lt;$Q33))+COUNTIFS($L$6:$L33,$L33,$Q$6:$Q33,$Q33),IF($F$2="Nr",COUNTIF($K$6:$K33,"?*"),$Q33+COUNTIF($Q$6:$Q33,$Q33)-1))))</f>
        <v>28</v>
      </c>
    </row>
    <row r="34" spans="1:18" ht="15" customHeight="1" x14ac:dyDescent="0.3">
      <c r="A34" s="13">
        <f>IFERROR(MATCH(29,$R$6:$R$105,0),"")</f>
        <v>29</v>
      </c>
      <c r="B34" s="13" t="str">
        <f t="shared" si="0"/>
        <v>Ainis Bagdonas</v>
      </c>
      <c r="C34" s="13" t="str">
        <f t="shared" si="1"/>
        <v>Telšiai</v>
      </c>
      <c r="D34" s="14">
        <f t="shared" si="2"/>
        <v>0</v>
      </c>
      <c r="E34" s="14">
        <f t="shared" si="3"/>
        <v>0</v>
      </c>
      <c r="F34" s="14">
        <f t="shared" si="4"/>
        <v>0</v>
      </c>
      <c r="G34" s="15">
        <f t="shared" si="5"/>
        <v>0</v>
      </c>
      <c r="H34" s="16">
        <f t="shared" si="6"/>
        <v>23</v>
      </c>
      <c r="K34" s="17" t="str">
        <f>IF(Pilotai!B30="","",Pilotai!B30)</f>
        <v>Ainis Bagdonas</v>
      </c>
      <c r="L34" s="17" t="str">
        <f>IF($K34="","",Pilotai!C30)</f>
        <v>Telšiai</v>
      </c>
      <c r="M34" s="18">
        <f>IF($K34="","",(SUMIFS(Rezultatai!$J$2:$J$500,Rezultatai!$B$2:$B$500,$K34,Rezultatai!$A$2:$A$500,$C$2-2,Rezultatai!$D$2:$D$500,"&lt;&gt;Papildomi (R+)")+MIN(SUMIFS(Rezultatai!$J$2:$J$500,Rezultatai!$B$2:$B$500,$K34,Rezultatai!$A$2:$A$500,$C$2-2,Rezultatai!$D$2:$D$500,"Papildomi (R+)"),0.15*(SUMIFS(Rezultatai!$J$2:$J$500,Rezultatai!$B$2:$B$500,$K34,Rezultatai!$A$2:$A$500,$C$2-2,Rezultatai!$D$2:$D$500,"&lt;&gt;Papildomi (R+)"))))*MIN(425,375+(1/70)*(SUMIFS(Parametrai!$B$2:$B$40,Parametrai!$A$2:$A$40,$C$2-2)-2500)))</f>
        <v>0</v>
      </c>
      <c r="N34" s="18">
        <f>IF($K34="","",(SUMIFS(Rezultatai!$J$2:$J$500,Rezultatai!$B$2:$B$500,$K34,Rezultatai!$A$2:$A$500,$C$2-1,Rezultatai!$D$2:$D$500,"&lt;&gt;Papildomi (R+)")+MIN(SUMIFS(Rezultatai!$J$2:$J$500,Rezultatai!$B$2:$B$500,$K34,Rezultatai!$A$2:$A$500,$C$2-1,Rezultatai!$D$2:$D$500,"Papildomi (R+)"),0.15*(SUMIFS(Rezultatai!$J$2:$J$500,Rezultatai!$B$2:$B$500,$K34,Rezultatai!$A$2:$A$500,$C$2-1,Rezultatai!$D$2:$D$500,"&lt;&gt;Papildomi (R+)"))))*MIN(450,400+(1/70)*(SUMIFS(Parametrai!$B$2:$B$40,Parametrai!$A$2:$A$40,$C$2-1)-2500)))</f>
        <v>0</v>
      </c>
      <c r="O34" s="18">
        <f>IF($K34="","",(SUMIFS(Rezultatai!$J$2:$J$500,Rezultatai!$B$2:$B$500,$K34,Rezultatai!$A$2:$A$500,$C$2,Rezultatai!$D$2:$D$500,"&lt;&gt;Papildomi (R+)")+MIN(SUMIFS(Rezultatai!$J$2:$J$500,Rezultatai!$B$2:$B$500,$K34,Rezultatai!$A$2:$A$500,$C$2,Rezultatai!$D$2:$D$500,"Papildomi (R+)"),0.15*(SUMIFS(Rezultatai!$J$2:$J$500,Rezultatai!$B$2:$B$500,$K34,Rezultatai!$A$2:$A$500,$C$2,Rezultatai!$D$2:$D$500,"&lt;&gt;Papildomi (R+)"))))*MIN(550,450+(1/35)*(SUMIFS(Parametrai!$B$2:$B$40,Parametrai!$A$2:$A$40,$C$2)-2500)))</f>
        <v>0</v>
      </c>
      <c r="P34" s="18">
        <f t="shared" si="7"/>
        <v>0</v>
      </c>
      <c r="Q34" s="17">
        <f t="shared" si="8"/>
        <v>23</v>
      </c>
      <c r="R34" s="17">
        <f>IF($K34="","",IF($F$2="Pilotas",SUMPRODUCT(($K$6:$K$105&lt;&gt;"")*($K$6:$K$105&lt;$K34))+COUNTIF($K$6:$K34,$K34),IF($F$2="Klubas",SUMPRODUCT(($K$6:$K$105&lt;&gt;"")*($L$6:$L$105&lt;$L34))+SUMPRODUCT(($K$6:$K$105&lt;&gt;"")*($L$6:$L$105=$L34)*($Q$6:$Q$105&lt;$Q34))+COUNTIFS($L$6:$L34,$L34,$Q$6:$Q34,$Q34),IF($F$2="Nr",COUNTIF($K$6:$K34,"?*"),$Q34+COUNTIF($Q$6:$Q34,$Q34)-1))))</f>
        <v>29</v>
      </c>
    </row>
    <row r="35" spans="1:18" ht="15" customHeight="1" x14ac:dyDescent="0.3">
      <c r="A35" s="13">
        <f>IFERROR(MATCH(30,$R$6:$R$105,0),"")</f>
        <v>30</v>
      </c>
      <c r="B35" s="13" t="str">
        <f t="shared" si="0"/>
        <v>Stasys Skalskis</v>
      </c>
      <c r="C35" s="13" t="str">
        <f t="shared" si="1"/>
        <v>Kauno AASK</v>
      </c>
      <c r="D35" s="14">
        <f t="shared" si="2"/>
        <v>0</v>
      </c>
      <c r="E35" s="14">
        <f t="shared" si="3"/>
        <v>0</v>
      </c>
      <c r="F35" s="14">
        <f t="shared" si="4"/>
        <v>0</v>
      </c>
      <c r="G35" s="15">
        <f t="shared" si="5"/>
        <v>0</v>
      </c>
      <c r="H35" s="16">
        <f t="shared" si="6"/>
        <v>23</v>
      </c>
      <c r="K35" s="17" t="str">
        <f>IF(Pilotai!B31="","",Pilotai!B31)</f>
        <v>Stasys Skalskis</v>
      </c>
      <c r="L35" s="17" t="str">
        <f>IF($K35="","",Pilotai!C31)</f>
        <v>Kauno AASK</v>
      </c>
      <c r="M35" s="18">
        <f>IF($K35="","",(SUMIFS(Rezultatai!$J$2:$J$500,Rezultatai!$B$2:$B$500,$K35,Rezultatai!$A$2:$A$500,$C$2-2,Rezultatai!$D$2:$D$500,"&lt;&gt;Papildomi (R+)")+MIN(SUMIFS(Rezultatai!$J$2:$J$500,Rezultatai!$B$2:$B$500,$K35,Rezultatai!$A$2:$A$500,$C$2-2,Rezultatai!$D$2:$D$500,"Papildomi (R+)"),0.15*(SUMIFS(Rezultatai!$J$2:$J$500,Rezultatai!$B$2:$B$500,$K35,Rezultatai!$A$2:$A$500,$C$2-2,Rezultatai!$D$2:$D$500,"&lt;&gt;Papildomi (R+)"))))*MIN(425,375+(1/70)*(SUMIFS(Parametrai!$B$2:$B$40,Parametrai!$A$2:$A$40,$C$2-2)-2500)))</f>
        <v>0</v>
      </c>
      <c r="N35" s="18">
        <f>IF($K35="","",(SUMIFS(Rezultatai!$J$2:$J$500,Rezultatai!$B$2:$B$500,$K35,Rezultatai!$A$2:$A$500,$C$2-1,Rezultatai!$D$2:$D$500,"&lt;&gt;Papildomi (R+)")+MIN(SUMIFS(Rezultatai!$J$2:$J$500,Rezultatai!$B$2:$B$500,$K35,Rezultatai!$A$2:$A$500,$C$2-1,Rezultatai!$D$2:$D$500,"Papildomi (R+)"),0.15*(SUMIFS(Rezultatai!$J$2:$J$500,Rezultatai!$B$2:$B$500,$K35,Rezultatai!$A$2:$A$500,$C$2-1,Rezultatai!$D$2:$D$500,"&lt;&gt;Papildomi (R+)"))))*MIN(450,400+(1/70)*(SUMIFS(Parametrai!$B$2:$B$40,Parametrai!$A$2:$A$40,$C$2-1)-2500)))</f>
        <v>0</v>
      </c>
      <c r="O35" s="18">
        <f>IF($K35="","",(SUMIFS(Rezultatai!$J$2:$J$500,Rezultatai!$B$2:$B$500,$K35,Rezultatai!$A$2:$A$500,$C$2,Rezultatai!$D$2:$D$500,"&lt;&gt;Papildomi (R+)")+MIN(SUMIFS(Rezultatai!$J$2:$J$500,Rezultatai!$B$2:$B$500,$K35,Rezultatai!$A$2:$A$500,$C$2,Rezultatai!$D$2:$D$500,"Papildomi (R+)"),0.15*(SUMIFS(Rezultatai!$J$2:$J$500,Rezultatai!$B$2:$B$500,$K35,Rezultatai!$A$2:$A$500,$C$2,Rezultatai!$D$2:$D$500,"&lt;&gt;Papildomi (R+)"))))*MIN(550,450+(1/35)*(SUMIFS(Parametrai!$B$2:$B$40,Parametrai!$A$2:$A$40,$C$2)-2500)))</f>
        <v>0</v>
      </c>
      <c r="P35" s="18">
        <f t="shared" si="7"/>
        <v>0</v>
      </c>
      <c r="Q35" s="17">
        <f t="shared" si="8"/>
        <v>23</v>
      </c>
      <c r="R35" s="17">
        <f>IF($K35="","",IF($F$2="Pilotas",SUMPRODUCT(($K$6:$K$105&lt;&gt;"")*($K$6:$K$105&lt;$K35))+COUNTIF($K$6:$K35,$K35),IF($F$2="Klubas",SUMPRODUCT(($K$6:$K$105&lt;&gt;"")*($L$6:$L$105&lt;$L35))+SUMPRODUCT(($K$6:$K$105&lt;&gt;"")*($L$6:$L$105=$L35)*($Q$6:$Q$105&lt;$Q35))+COUNTIFS($L$6:$L35,$L35,$Q$6:$Q35,$Q35),IF($F$2="Nr",COUNTIF($K$6:$K35,"?*"),$Q35+COUNTIF($Q$6:$Q35,$Q35)-1))))</f>
        <v>30</v>
      </c>
    </row>
    <row r="36" spans="1:18" ht="15" customHeight="1" x14ac:dyDescent="0.3">
      <c r="A36" s="13">
        <f>IFERROR(MATCH(31,$R$6:$R$105,0),"")</f>
        <v>31</v>
      </c>
      <c r="B36" s="13" t="str">
        <f t="shared" si="0"/>
        <v>Vytautas Mačiulis</v>
      </c>
      <c r="C36" s="13" t="str">
        <f t="shared" si="1"/>
        <v>Kauno AASK</v>
      </c>
      <c r="D36" s="14">
        <f t="shared" si="2"/>
        <v>0</v>
      </c>
      <c r="E36" s="14">
        <f t="shared" si="3"/>
        <v>0</v>
      </c>
      <c r="F36" s="14">
        <f t="shared" si="4"/>
        <v>0</v>
      </c>
      <c r="G36" s="15">
        <f t="shared" si="5"/>
        <v>0</v>
      </c>
      <c r="H36" s="16">
        <f t="shared" si="6"/>
        <v>23</v>
      </c>
      <c r="K36" s="17" t="str">
        <f>IF(Pilotai!B32="","",Pilotai!B32)</f>
        <v>Vytautas Mačiulis</v>
      </c>
      <c r="L36" s="17" t="str">
        <f>IF($K36="","",Pilotai!C32)</f>
        <v>Kauno AASK</v>
      </c>
      <c r="M36" s="18">
        <f>IF($K36="","",(SUMIFS(Rezultatai!$J$2:$J$500,Rezultatai!$B$2:$B$500,$K36,Rezultatai!$A$2:$A$500,$C$2-2,Rezultatai!$D$2:$D$500,"&lt;&gt;Papildomi (R+)")+MIN(SUMIFS(Rezultatai!$J$2:$J$500,Rezultatai!$B$2:$B$500,$K36,Rezultatai!$A$2:$A$500,$C$2-2,Rezultatai!$D$2:$D$500,"Papildomi (R+)"),0.15*(SUMIFS(Rezultatai!$J$2:$J$500,Rezultatai!$B$2:$B$500,$K36,Rezultatai!$A$2:$A$500,$C$2-2,Rezultatai!$D$2:$D$500,"&lt;&gt;Papildomi (R+)"))))*MIN(425,375+(1/70)*(SUMIFS(Parametrai!$B$2:$B$40,Parametrai!$A$2:$A$40,$C$2-2)-2500)))</f>
        <v>0</v>
      </c>
      <c r="N36" s="18">
        <f>IF($K36="","",(SUMIFS(Rezultatai!$J$2:$J$500,Rezultatai!$B$2:$B$500,$K36,Rezultatai!$A$2:$A$500,$C$2-1,Rezultatai!$D$2:$D$500,"&lt;&gt;Papildomi (R+)")+MIN(SUMIFS(Rezultatai!$J$2:$J$500,Rezultatai!$B$2:$B$500,$K36,Rezultatai!$A$2:$A$500,$C$2-1,Rezultatai!$D$2:$D$500,"Papildomi (R+)"),0.15*(SUMIFS(Rezultatai!$J$2:$J$500,Rezultatai!$B$2:$B$500,$K36,Rezultatai!$A$2:$A$500,$C$2-1,Rezultatai!$D$2:$D$500,"&lt;&gt;Papildomi (R+)"))))*MIN(450,400+(1/70)*(SUMIFS(Parametrai!$B$2:$B$40,Parametrai!$A$2:$A$40,$C$2-1)-2500)))</f>
        <v>0</v>
      </c>
      <c r="O36" s="18">
        <f>IF($K36="","",(SUMIFS(Rezultatai!$J$2:$J$500,Rezultatai!$B$2:$B$500,$K36,Rezultatai!$A$2:$A$500,$C$2,Rezultatai!$D$2:$D$500,"&lt;&gt;Papildomi (R+)")+MIN(SUMIFS(Rezultatai!$J$2:$J$500,Rezultatai!$B$2:$B$500,$K36,Rezultatai!$A$2:$A$500,$C$2,Rezultatai!$D$2:$D$500,"Papildomi (R+)"),0.15*(SUMIFS(Rezultatai!$J$2:$J$500,Rezultatai!$B$2:$B$500,$K36,Rezultatai!$A$2:$A$500,$C$2,Rezultatai!$D$2:$D$500,"&lt;&gt;Papildomi (R+)"))))*MIN(550,450+(1/35)*(SUMIFS(Parametrai!$B$2:$B$40,Parametrai!$A$2:$A$40,$C$2)-2500)))</f>
        <v>0</v>
      </c>
      <c r="P36" s="18">
        <f t="shared" si="7"/>
        <v>0</v>
      </c>
      <c r="Q36" s="17">
        <f t="shared" si="8"/>
        <v>23</v>
      </c>
      <c r="R36" s="17">
        <f>IF($K36="","",IF($F$2="Pilotas",SUMPRODUCT(($K$6:$K$105&lt;&gt;"")*($K$6:$K$105&lt;$K36))+COUNTIF($K$6:$K36,$K36),IF($F$2="Klubas",SUMPRODUCT(($K$6:$K$105&lt;&gt;"")*($L$6:$L$105&lt;$L36))+SUMPRODUCT(($K$6:$K$105&lt;&gt;"")*($L$6:$L$105=$L36)*($Q$6:$Q$105&lt;$Q36))+COUNTIFS($L$6:$L36,$L36,$Q$6:$Q36,$Q36),IF($F$2="Nr",COUNTIF($K$6:$K36,"?*"),$Q36+COUNTIF($Q$6:$Q36,$Q36)-1))))</f>
        <v>31</v>
      </c>
    </row>
    <row r="37" spans="1:18" ht="15" customHeight="1" x14ac:dyDescent="0.3">
      <c r="A37" s="13">
        <f>IFERROR(MATCH(32,$R$6:$R$105,0),"")</f>
        <v>32</v>
      </c>
      <c r="B37" s="13" t="str">
        <f t="shared" si="0"/>
        <v>Ringaudas Kikalas</v>
      </c>
      <c r="C37" s="13" t="str">
        <f t="shared" si="1"/>
        <v>Pamario Sklandytojų Klubas</v>
      </c>
      <c r="D37" s="14">
        <f t="shared" si="2"/>
        <v>0</v>
      </c>
      <c r="E37" s="14">
        <f t="shared" si="3"/>
        <v>0</v>
      </c>
      <c r="F37" s="14">
        <f t="shared" si="4"/>
        <v>0</v>
      </c>
      <c r="G37" s="15">
        <f t="shared" si="5"/>
        <v>0</v>
      </c>
      <c r="H37" s="16">
        <f t="shared" si="6"/>
        <v>23</v>
      </c>
      <c r="K37" s="17" t="str">
        <f>IF(Pilotai!B33="","",Pilotai!B33)</f>
        <v>Ringaudas Kikalas</v>
      </c>
      <c r="L37" s="17" t="str">
        <f>IF($K37="","",Pilotai!C33)</f>
        <v>Pamario Sklandytojų Klubas</v>
      </c>
      <c r="M37" s="18">
        <f>IF($K37="","",(SUMIFS(Rezultatai!$J$2:$J$500,Rezultatai!$B$2:$B$500,$K37,Rezultatai!$A$2:$A$500,$C$2-2,Rezultatai!$D$2:$D$500,"&lt;&gt;Papildomi (R+)")+MIN(SUMIFS(Rezultatai!$J$2:$J$500,Rezultatai!$B$2:$B$500,$K37,Rezultatai!$A$2:$A$500,$C$2-2,Rezultatai!$D$2:$D$500,"Papildomi (R+)"),0.15*(SUMIFS(Rezultatai!$J$2:$J$500,Rezultatai!$B$2:$B$500,$K37,Rezultatai!$A$2:$A$500,$C$2-2,Rezultatai!$D$2:$D$500,"&lt;&gt;Papildomi (R+)"))))*MIN(425,375+(1/70)*(SUMIFS(Parametrai!$B$2:$B$40,Parametrai!$A$2:$A$40,$C$2-2)-2500)))</f>
        <v>0</v>
      </c>
      <c r="N37" s="18">
        <f>IF($K37="","",(SUMIFS(Rezultatai!$J$2:$J$500,Rezultatai!$B$2:$B$500,$K37,Rezultatai!$A$2:$A$500,$C$2-1,Rezultatai!$D$2:$D$500,"&lt;&gt;Papildomi (R+)")+MIN(SUMIFS(Rezultatai!$J$2:$J$500,Rezultatai!$B$2:$B$500,$K37,Rezultatai!$A$2:$A$500,$C$2-1,Rezultatai!$D$2:$D$500,"Papildomi (R+)"),0.15*(SUMIFS(Rezultatai!$J$2:$J$500,Rezultatai!$B$2:$B$500,$K37,Rezultatai!$A$2:$A$500,$C$2-1,Rezultatai!$D$2:$D$500,"&lt;&gt;Papildomi (R+)"))))*MIN(450,400+(1/70)*(SUMIFS(Parametrai!$B$2:$B$40,Parametrai!$A$2:$A$40,$C$2-1)-2500)))</f>
        <v>0</v>
      </c>
      <c r="O37" s="18">
        <f>IF($K37="","",(SUMIFS(Rezultatai!$J$2:$J$500,Rezultatai!$B$2:$B$500,$K37,Rezultatai!$A$2:$A$500,$C$2,Rezultatai!$D$2:$D$500,"&lt;&gt;Papildomi (R+)")+MIN(SUMIFS(Rezultatai!$J$2:$J$500,Rezultatai!$B$2:$B$500,$K37,Rezultatai!$A$2:$A$500,$C$2,Rezultatai!$D$2:$D$500,"Papildomi (R+)"),0.15*(SUMIFS(Rezultatai!$J$2:$J$500,Rezultatai!$B$2:$B$500,$K37,Rezultatai!$A$2:$A$500,$C$2,Rezultatai!$D$2:$D$500,"&lt;&gt;Papildomi (R+)"))))*MIN(550,450+(1/35)*(SUMIFS(Parametrai!$B$2:$B$40,Parametrai!$A$2:$A$40,$C$2)-2500)))</f>
        <v>0</v>
      </c>
      <c r="P37" s="18">
        <f t="shared" si="7"/>
        <v>0</v>
      </c>
      <c r="Q37" s="17">
        <f t="shared" si="8"/>
        <v>23</v>
      </c>
      <c r="R37" s="17">
        <f>IF($K37="","",IF($F$2="Pilotas",SUMPRODUCT(($K$6:$K$105&lt;&gt;"")*($K$6:$K$105&lt;$K37))+COUNTIF($K$6:$K37,$K37),IF($F$2="Klubas",SUMPRODUCT(($K$6:$K$105&lt;&gt;"")*($L$6:$L$105&lt;$L37))+SUMPRODUCT(($K$6:$K$105&lt;&gt;"")*($L$6:$L$105=$L37)*($Q$6:$Q$105&lt;$Q37))+COUNTIFS($L$6:$L37,$L37,$Q$6:$Q37,$Q37),IF($F$2="Nr",COUNTIF($K$6:$K37,"?*"),$Q37+COUNTIF($Q$6:$Q37,$Q37)-1))))</f>
        <v>32</v>
      </c>
    </row>
    <row r="38" spans="1:18" ht="15" customHeight="1" x14ac:dyDescent="0.3">
      <c r="A38" s="13">
        <f>IFERROR(MATCH(33,$R$6:$R$105,0),"")</f>
        <v>33</v>
      </c>
      <c r="B38" s="13" t="str">
        <f t="shared" ref="B38:B69" si="9">IF($A38="","",INDEX($K$6:$K$105,$A38))</f>
        <v>Šarunas Stanevičius</v>
      </c>
      <c r="C38" s="13" t="str">
        <f t="shared" ref="C38:C69" si="10">IF($A38="","",INDEX($L$6:$L$105,$A38))</f>
        <v>Pamario Sklandytojų Klubas</v>
      </c>
      <c r="D38" s="14">
        <f t="shared" ref="D38:D69" si="11">IF($A38="","",INDEX($M$6:$M$105,$A38))</f>
        <v>0</v>
      </c>
      <c r="E38" s="14">
        <f t="shared" ref="E38:E69" si="12">IF($A38="","",INDEX($N$6:$N$105,$A38))</f>
        <v>0</v>
      </c>
      <c r="F38" s="14">
        <f t="shared" ref="F38:F69" si="13">IF($A38="","",INDEX($O$6:$O$105,$A38))</f>
        <v>0</v>
      </c>
      <c r="G38" s="15">
        <f t="shared" ref="G38:G69" si="14">IF($A38="","",INDEX($P$6:$P$105,$A38))</f>
        <v>0</v>
      </c>
      <c r="H38" s="16">
        <f t="shared" ref="H38:H69" si="15">IF($A38="","",INDEX($Q$6:$Q$105,$A38))</f>
        <v>23</v>
      </c>
      <c r="K38" s="17" t="str">
        <f>IF(Pilotai!B34="","",Pilotai!B34)</f>
        <v>Šarunas Stanevičius</v>
      </c>
      <c r="L38" s="17" t="str">
        <f>IF($K38="","",Pilotai!C34)</f>
        <v>Pamario Sklandytojų Klubas</v>
      </c>
      <c r="M38" s="18">
        <f>IF($K38="","",(SUMIFS(Rezultatai!$J$2:$J$500,Rezultatai!$B$2:$B$500,$K38,Rezultatai!$A$2:$A$500,$C$2-2,Rezultatai!$D$2:$D$500,"&lt;&gt;Papildomi (R+)")+MIN(SUMIFS(Rezultatai!$J$2:$J$500,Rezultatai!$B$2:$B$500,$K38,Rezultatai!$A$2:$A$500,$C$2-2,Rezultatai!$D$2:$D$500,"Papildomi (R+)"),0.15*(SUMIFS(Rezultatai!$J$2:$J$500,Rezultatai!$B$2:$B$500,$K38,Rezultatai!$A$2:$A$500,$C$2-2,Rezultatai!$D$2:$D$500,"&lt;&gt;Papildomi (R+)"))))*MIN(425,375+(1/70)*(SUMIFS(Parametrai!$B$2:$B$40,Parametrai!$A$2:$A$40,$C$2-2)-2500)))</f>
        <v>0</v>
      </c>
      <c r="N38" s="18">
        <f>IF($K38="","",(SUMIFS(Rezultatai!$J$2:$J$500,Rezultatai!$B$2:$B$500,$K38,Rezultatai!$A$2:$A$500,$C$2-1,Rezultatai!$D$2:$D$500,"&lt;&gt;Papildomi (R+)")+MIN(SUMIFS(Rezultatai!$J$2:$J$500,Rezultatai!$B$2:$B$500,$K38,Rezultatai!$A$2:$A$500,$C$2-1,Rezultatai!$D$2:$D$500,"Papildomi (R+)"),0.15*(SUMIFS(Rezultatai!$J$2:$J$500,Rezultatai!$B$2:$B$500,$K38,Rezultatai!$A$2:$A$500,$C$2-1,Rezultatai!$D$2:$D$500,"&lt;&gt;Papildomi (R+)"))))*MIN(450,400+(1/70)*(SUMIFS(Parametrai!$B$2:$B$40,Parametrai!$A$2:$A$40,$C$2-1)-2500)))</f>
        <v>0</v>
      </c>
      <c r="O38" s="18">
        <f>IF($K38="","",(SUMIFS(Rezultatai!$J$2:$J$500,Rezultatai!$B$2:$B$500,$K38,Rezultatai!$A$2:$A$500,$C$2,Rezultatai!$D$2:$D$500,"&lt;&gt;Papildomi (R+)")+MIN(SUMIFS(Rezultatai!$J$2:$J$500,Rezultatai!$B$2:$B$500,$K38,Rezultatai!$A$2:$A$500,$C$2,Rezultatai!$D$2:$D$500,"Papildomi (R+)"),0.15*(SUMIFS(Rezultatai!$J$2:$J$500,Rezultatai!$B$2:$B$500,$K38,Rezultatai!$A$2:$A$500,$C$2,Rezultatai!$D$2:$D$500,"&lt;&gt;Papildomi (R+)"))))*MIN(550,450+(1/35)*(SUMIFS(Parametrai!$B$2:$B$40,Parametrai!$A$2:$A$40,$C$2)-2500)))</f>
        <v>0</v>
      </c>
      <c r="P38" s="18">
        <f t="shared" ref="P38:P69" si="16">IF($K38="","",SUM($M38:$O38)-MIN($M38:$O38))</f>
        <v>0</v>
      </c>
      <c r="Q38" s="17">
        <f t="shared" ref="Q38:Q69" si="17">IF($K38="","",RANK($P38,$P$6:$P$105,0))</f>
        <v>23</v>
      </c>
      <c r="R38" s="17">
        <f>IF($K38="","",IF($F$2="Pilotas",SUMPRODUCT(($K$6:$K$105&lt;&gt;"")*($K$6:$K$105&lt;$K38))+COUNTIF($K$6:$K38,$K38),IF($F$2="Klubas",SUMPRODUCT(($K$6:$K$105&lt;&gt;"")*($L$6:$L$105&lt;$L38))+SUMPRODUCT(($K$6:$K$105&lt;&gt;"")*($L$6:$L$105=$L38)*($Q$6:$Q$105&lt;$Q38))+COUNTIFS($L$6:$L38,$L38,$Q$6:$Q38,$Q38),IF($F$2="Nr",COUNTIF($K$6:$K38,"?*"),$Q38+COUNTIF($Q$6:$Q38,$Q38)-1))))</f>
        <v>33</v>
      </c>
    </row>
    <row r="39" spans="1:18" ht="15" customHeight="1" x14ac:dyDescent="0.3">
      <c r="A39" s="13">
        <f>IFERROR(MATCH(34,$R$6:$R$105,0),"")</f>
        <v>34</v>
      </c>
      <c r="B39" s="13" t="str">
        <f t="shared" si="9"/>
        <v>Artūras Pilvinis</v>
      </c>
      <c r="C39" s="13" t="str">
        <f t="shared" si="10"/>
        <v>Telšė</v>
      </c>
      <c r="D39" s="14">
        <f t="shared" si="11"/>
        <v>0</v>
      </c>
      <c r="E39" s="14">
        <f t="shared" si="12"/>
        <v>0</v>
      </c>
      <c r="F39" s="14">
        <f t="shared" si="13"/>
        <v>0</v>
      </c>
      <c r="G39" s="15">
        <f t="shared" si="14"/>
        <v>0</v>
      </c>
      <c r="H39" s="16">
        <f t="shared" si="15"/>
        <v>23</v>
      </c>
      <c r="K39" s="17" t="str">
        <f>IF(Pilotai!B35="","",Pilotai!B35)</f>
        <v>Artūras Pilvinis</v>
      </c>
      <c r="L39" s="17" t="str">
        <f>IF($K39="","",Pilotai!C35)</f>
        <v>Telšė</v>
      </c>
      <c r="M39" s="18">
        <f>IF($K39="","",(SUMIFS(Rezultatai!$J$2:$J$500,Rezultatai!$B$2:$B$500,$K39,Rezultatai!$A$2:$A$500,$C$2-2,Rezultatai!$D$2:$D$500,"&lt;&gt;Papildomi (R+)")+MIN(SUMIFS(Rezultatai!$J$2:$J$500,Rezultatai!$B$2:$B$500,$K39,Rezultatai!$A$2:$A$500,$C$2-2,Rezultatai!$D$2:$D$500,"Papildomi (R+)"),0.15*(SUMIFS(Rezultatai!$J$2:$J$500,Rezultatai!$B$2:$B$500,$K39,Rezultatai!$A$2:$A$500,$C$2-2,Rezultatai!$D$2:$D$500,"&lt;&gt;Papildomi (R+)"))))*MIN(425,375+(1/70)*(SUMIFS(Parametrai!$B$2:$B$40,Parametrai!$A$2:$A$40,$C$2-2)-2500)))</f>
        <v>0</v>
      </c>
      <c r="N39" s="18">
        <f>IF($K39="","",(SUMIFS(Rezultatai!$J$2:$J$500,Rezultatai!$B$2:$B$500,$K39,Rezultatai!$A$2:$A$500,$C$2-1,Rezultatai!$D$2:$D$500,"&lt;&gt;Papildomi (R+)")+MIN(SUMIFS(Rezultatai!$J$2:$J$500,Rezultatai!$B$2:$B$500,$K39,Rezultatai!$A$2:$A$500,$C$2-1,Rezultatai!$D$2:$D$500,"Papildomi (R+)"),0.15*(SUMIFS(Rezultatai!$J$2:$J$500,Rezultatai!$B$2:$B$500,$K39,Rezultatai!$A$2:$A$500,$C$2-1,Rezultatai!$D$2:$D$500,"&lt;&gt;Papildomi (R+)"))))*MIN(450,400+(1/70)*(SUMIFS(Parametrai!$B$2:$B$40,Parametrai!$A$2:$A$40,$C$2-1)-2500)))</f>
        <v>0</v>
      </c>
      <c r="O39" s="18">
        <f>IF($K39="","",(SUMIFS(Rezultatai!$J$2:$J$500,Rezultatai!$B$2:$B$500,$K39,Rezultatai!$A$2:$A$500,$C$2,Rezultatai!$D$2:$D$500,"&lt;&gt;Papildomi (R+)")+MIN(SUMIFS(Rezultatai!$J$2:$J$500,Rezultatai!$B$2:$B$500,$K39,Rezultatai!$A$2:$A$500,$C$2,Rezultatai!$D$2:$D$500,"Papildomi (R+)"),0.15*(SUMIFS(Rezultatai!$J$2:$J$500,Rezultatai!$B$2:$B$500,$K39,Rezultatai!$A$2:$A$500,$C$2,Rezultatai!$D$2:$D$500,"&lt;&gt;Papildomi (R+)"))))*MIN(550,450+(1/35)*(SUMIFS(Parametrai!$B$2:$B$40,Parametrai!$A$2:$A$40,$C$2)-2500)))</f>
        <v>0</v>
      </c>
      <c r="P39" s="18">
        <f t="shared" si="16"/>
        <v>0</v>
      </c>
      <c r="Q39" s="17">
        <f t="shared" si="17"/>
        <v>23</v>
      </c>
      <c r="R39" s="17">
        <f>IF($K39="","",IF($F$2="Pilotas",SUMPRODUCT(($K$6:$K$105&lt;&gt;"")*($K$6:$K$105&lt;$K39))+COUNTIF($K$6:$K39,$K39),IF($F$2="Klubas",SUMPRODUCT(($K$6:$K$105&lt;&gt;"")*($L$6:$L$105&lt;$L39))+SUMPRODUCT(($K$6:$K$105&lt;&gt;"")*($L$6:$L$105=$L39)*($Q$6:$Q$105&lt;$Q39))+COUNTIFS($L$6:$L39,$L39,$Q$6:$Q39,$Q39),IF($F$2="Nr",COUNTIF($K$6:$K39,"?*"),$Q39+COUNTIF($Q$6:$Q39,$Q39)-1))))</f>
        <v>34</v>
      </c>
    </row>
    <row r="40" spans="1:18" ht="15" customHeight="1" x14ac:dyDescent="0.3">
      <c r="A40" s="13">
        <f>IFERROR(MATCH(35,$R$6:$R$105,0),"")</f>
        <v>35</v>
      </c>
      <c r="B40" s="13" t="str">
        <f t="shared" si="9"/>
        <v>Jokūbas Motūza</v>
      </c>
      <c r="C40" s="13" t="str">
        <f t="shared" si="10"/>
        <v>Kauno AASK</v>
      </c>
      <c r="D40" s="14">
        <f t="shared" si="11"/>
        <v>0</v>
      </c>
      <c r="E40" s="14">
        <f t="shared" si="12"/>
        <v>0</v>
      </c>
      <c r="F40" s="14">
        <f t="shared" si="13"/>
        <v>0</v>
      </c>
      <c r="G40" s="15">
        <f t="shared" si="14"/>
        <v>0</v>
      </c>
      <c r="H40" s="16">
        <f t="shared" si="15"/>
        <v>23</v>
      </c>
      <c r="K40" s="17" t="str">
        <f>IF(Pilotai!B36="","",Pilotai!B36)</f>
        <v>Jokūbas Motūza</v>
      </c>
      <c r="L40" s="17" t="str">
        <f>IF($K40="","",Pilotai!C36)</f>
        <v>Kauno AASK</v>
      </c>
      <c r="M40" s="18">
        <f>IF($K40="","",(SUMIFS(Rezultatai!$J$2:$J$500,Rezultatai!$B$2:$B$500,$K40,Rezultatai!$A$2:$A$500,$C$2-2,Rezultatai!$D$2:$D$500,"&lt;&gt;Papildomi (R+)")+MIN(SUMIFS(Rezultatai!$J$2:$J$500,Rezultatai!$B$2:$B$500,$K40,Rezultatai!$A$2:$A$500,$C$2-2,Rezultatai!$D$2:$D$500,"Papildomi (R+)"),0.15*(SUMIFS(Rezultatai!$J$2:$J$500,Rezultatai!$B$2:$B$500,$K40,Rezultatai!$A$2:$A$500,$C$2-2,Rezultatai!$D$2:$D$500,"&lt;&gt;Papildomi (R+)"))))*MIN(425,375+(1/70)*(SUMIFS(Parametrai!$B$2:$B$40,Parametrai!$A$2:$A$40,$C$2-2)-2500)))</f>
        <v>0</v>
      </c>
      <c r="N40" s="18">
        <f>IF($K40="","",(SUMIFS(Rezultatai!$J$2:$J$500,Rezultatai!$B$2:$B$500,$K40,Rezultatai!$A$2:$A$500,$C$2-1,Rezultatai!$D$2:$D$500,"&lt;&gt;Papildomi (R+)")+MIN(SUMIFS(Rezultatai!$J$2:$J$500,Rezultatai!$B$2:$B$500,$K40,Rezultatai!$A$2:$A$500,$C$2-1,Rezultatai!$D$2:$D$500,"Papildomi (R+)"),0.15*(SUMIFS(Rezultatai!$J$2:$J$500,Rezultatai!$B$2:$B$500,$K40,Rezultatai!$A$2:$A$500,$C$2-1,Rezultatai!$D$2:$D$500,"&lt;&gt;Papildomi (R+)"))))*MIN(450,400+(1/70)*(SUMIFS(Parametrai!$B$2:$B$40,Parametrai!$A$2:$A$40,$C$2-1)-2500)))</f>
        <v>0</v>
      </c>
      <c r="O40" s="18">
        <f>IF($K40="","",(SUMIFS(Rezultatai!$J$2:$J$500,Rezultatai!$B$2:$B$500,$K40,Rezultatai!$A$2:$A$500,$C$2,Rezultatai!$D$2:$D$500,"&lt;&gt;Papildomi (R+)")+MIN(SUMIFS(Rezultatai!$J$2:$J$500,Rezultatai!$B$2:$B$500,$K40,Rezultatai!$A$2:$A$500,$C$2,Rezultatai!$D$2:$D$500,"Papildomi (R+)"),0.15*(SUMIFS(Rezultatai!$J$2:$J$500,Rezultatai!$B$2:$B$500,$K40,Rezultatai!$A$2:$A$500,$C$2,Rezultatai!$D$2:$D$500,"&lt;&gt;Papildomi (R+)"))))*MIN(550,450+(1/35)*(SUMIFS(Parametrai!$B$2:$B$40,Parametrai!$A$2:$A$40,$C$2)-2500)))</f>
        <v>0</v>
      </c>
      <c r="P40" s="18">
        <f t="shared" si="16"/>
        <v>0</v>
      </c>
      <c r="Q40" s="17">
        <f t="shared" si="17"/>
        <v>23</v>
      </c>
      <c r="R40" s="17">
        <f>IF($K40="","",IF($F$2="Pilotas",SUMPRODUCT(($K$6:$K$105&lt;&gt;"")*($K$6:$K$105&lt;$K40))+COUNTIF($K$6:$K40,$K40),IF($F$2="Klubas",SUMPRODUCT(($K$6:$K$105&lt;&gt;"")*($L$6:$L$105&lt;$L40))+SUMPRODUCT(($K$6:$K$105&lt;&gt;"")*($L$6:$L$105=$L40)*($Q$6:$Q$105&lt;$Q40))+COUNTIFS($L$6:$L40,$L40,$Q$6:$Q40,$Q40),IF($F$2="Nr",COUNTIF($K$6:$K40,"?*"),$Q40+COUNTIF($Q$6:$Q40,$Q40)-1))))</f>
        <v>35</v>
      </c>
    </row>
    <row r="41" spans="1:18" ht="15" customHeight="1" x14ac:dyDescent="0.3">
      <c r="A41" s="13">
        <f>IFERROR(MATCH(36,$R$6:$R$105,0),"")</f>
        <v>36</v>
      </c>
      <c r="B41" s="13" t="str">
        <f t="shared" si="9"/>
        <v>Kęstutis Jurkštas</v>
      </c>
      <c r="C41" s="13" t="str">
        <f t="shared" si="10"/>
        <v>Vilniaus Aeroklubas</v>
      </c>
      <c r="D41" s="14">
        <f t="shared" si="11"/>
        <v>0</v>
      </c>
      <c r="E41" s="14">
        <f t="shared" si="12"/>
        <v>0</v>
      </c>
      <c r="F41" s="14">
        <f t="shared" si="13"/>
        <v>0</v>
      </c>
      <c r="G41" s="15">
        <f t="shared" si="14"/>
        <v>0</v>
      </c>
      <c r="H41" s="16">
        <f t="shared" si="15"/>
        <v>23</v>
      </c>
      <c r="K41" s="17" t="str">
        <f>IF(Pilotai!B37="","",Pilotai!B37)</f>
        <v>Kęstutis Jurkštas</v>
      </c>
      <c r="L41" s="17" t="str">
        <f>IF($K41="","",Pilotai!C37)</f>
        <v>Vilniaus Aeroklubas</v>
      </c>
      <c r="M41" s="18">
        <f>IF($K41="","",(SUMIFS(Rezultatai!$J$2:$J$500,Rezultatai!$B$2:$B$500,$K41,Rezultatai!$A$2:$A$500,$C$2-2,Rezultatai!$D$2:$D$500,"&lt;&gt;Papildomi (R+)")+MIN(SUMIFS(Rezultatai!$J$2:$J$500,Rezultatai!$B$2:$B$500,$K41,Rezultatai!$A$2:$A$500,$C$2-2,Rezultatai!$D$2:$D$500,"Papildomi (R+)"),0.15*(SUMIFS(Rezultatai!$J$2:$J$500,Rezultatai!$B$2:$B$500,$K41,Rezultatai!$A$2:$A$500,$C$2-2,Rezultatai!$D$2:$D$500,"&lt;&gt;Papildomi (R+)"))))*MIN(425,375+(1/70)*(SUMIFS(Parametrai!$B$2:$B$40,Parametrai!$A$2:$A$40,$C$2-2)-2500)))</f>
        <v>0</v>
      </c>
      <c r="N41" s="18">
        <f>IF($K41="","",(SUMIFS(Rezultatai!$J$2:$J$500,Rezultatai!$B$2:$B$500,$K41,Rezultatai!$A$2:$A$500,$C$2-1,Rezultatai!$D$2:$D$500,"&lt;&gt;Papildomi (R+)")+MIN(SUMIFS(Rezultatai!$J$2:$J$500,Rezultatai!$B$2:$B$500,$K41,Rezultatai!$A$2:$A$500,$C$2-1,Rezultatai!$D$2:$D$500,"Papildomi (R+)"),0.15*(SUMIFS(Rezultatai!$J$2:$J$500,Rezultatai!$B$2:$B$500,$K41,Rezultatai!$A$2:$A$500,$C$2-1,Rezultatai!$D$2:$D$500,"&lt;&gt;Papildomi (R+)"))))*MIN(450,400+(1/70)*(SUMIFS(Parametrai!$B$2:$B$40,Parametrai!$A$2:$A$40,$C$2-1)-2500)))</f>
        <v>0</v>
      </c>
      <c r="O41" s="18">
        <f>IF($K41="","",(SUMIFS(Rezultatai!$J$2:$J$500,Rezultatai!$B$2:$B$500,$K41,Rezultatai!$A$2:$A$500,$C$2,Rezultatai!$D$2:$D$500,"&lt;&gt;Papildomi (R+)")+MIN(SUMIFS(Rezultatai!$J$2:$J$500,Rezultatai!$B$2:$B$500,$K41,Rezultatai!$A$2:$A$500,$C$2,Rezultatai!$D$2:$D$500,"Papildomi (R+)"),0.15*(SUMIFS(Rezultatai!$J$2:$J$500,Rezultatai!$B$2:$B$500,$K41,Rezultatai!$A$2:$A$500,$C$2,Rezultatai!$D$2:$D$500,"&lt;&gt;Papildomi (R+)"))))*MIN(550,450+(1/35)*(SUMIFS(Parametrai!$B$2:$B$40,Parametrai!$A$2:$A$40,$C$2)-2500)))</f>
        <v>0</v>
      </c>
      <c r="P41" s="18">
        <f t="shared" si="16"/>
        <v>0</v>
      </c>
      <c r="Q41" s="17">
        <f t="shared" si="17"/>
        <v>23</v>
      </c>
      <c r="R41" s="17">
        <f>IF($K41="","",IF($F$2="Pilotas",SUMPRODUCT(($K$6:$K$105&lt;&gt;"")*($K$6:$K$105&lt;$K41))+COUNTIF($K$6:$K41,$K41),IF($F$2="Klubas",SUMPRODUCT(($K$6:$K$105&lt;&gt;"")*($L$6:$L$105&lt;$L41))+SUMPRODUCT(($K$6:$K$105&lt;&gt;"")*($L$6:$L$105=$L41)*($Q$6:$Q$105&lt;$Q41))+COUNTIFS($L$6:$L41,$L41,$Q$6:$Q41,$Q41),IF($F$2="Nr",COUNTIF($K$6:$K41,"?*"),$Q41+COUNTIF($Q$6:$Q41,$Q41)-1))))</f>
        <v>36</v>
      </c>
    </row>
    <row r="42" spans="1:18" ht="15" customHeight="1" x14ac:dyDescent="0.3">
      <c r="A42" s="13">
        <f>IFERROR(MATCH(37,$R$6:$R$105,0),"")</f>
        <v>37</v>
      </c>
      <c r="B42" s="13" t="str">
        <f t="shared" si="9"/>
        <v>Ignas Bitinaitis</v>
      </c>
      <c r="C42" s="13" t="str">
        <f t="shared" si="10"/>
        <v>Kauno AASK</v>
      </c>
      <c r="D42" s="14">
        <f t="shared" si="11"/>
        <v>0</v>
      </c>
      <c r="E42" s="14">
        <f t="shared" si="12"/>
        <v>0</v>
      </c>
      <c r="F42" s="14">
        <f t="shared" si="13"/>
        <v>0</v>
      </c>
      <c r="G42" s="15">
        <f t="shared" si="14"/>
        <v>0</v>
      </c>
      <c r="H42" s="16">
        <f t="shared" si="15"/>
        <v>23</v>
      </c>
      <c r="K42" s="17" t="str">
        <f>IF(Pilotai!B38="","",Pilotai!B38)</f>
        <v>Ignas Bitinaitis</v>
      </c>
      <c r="L42" s="17" t="str">
        <f>IF($K42="","",Pilotai!C38)</f>
        <v>Kauno AASK</v>
      </c>
      <c r="M42" s="18">
        <f>IF($K42="","",(SUMIFS(Rezultatai!$J$2:$J$500,Rezultatai!$B$2:$B$500,$K42,Rezultatai!$A$2:$A$500,$C$2-2,Rezultatai!$D$2:$D$500,"&lt;&gt;Papildomi (R+)")+MIN(SUMIFS(Rezultatai!$J$2:$J$500,Rezultatai!$B$2:$B$500,$K42,Rezultatai!$A$2:$A$500,$C$2-2,Rezultatai!$D$2:$D$500,"Papildomi (R+)"),0.15*(SUMIFS(Rezultatai!$J$2:$J$500,Rezultatai!$B$2:$B$500,$K42,Rezultatai!$A$2:$A$500,$C$2-2,Rezultatai!$D$2:$D$500,"&lt;&gt;Papildomi (R+)"))))*MIN(425,375+(1/70)*(SUMIFS(Parametrai!$B$2:$B$40,Parametrai!$A$2:$A$40,$C$2-2)-2500)))</f>
        <v>0</v>
      </c>
      <c r="N42" s="18">
        <f>IF($K42="","",(SUMIFS(Rezultatai!$J$2:$J$500,Rezultatai!$B$2:$B$500,$K42,Rezultatai!$A$2:$A$500,$C$2-1,Rezultatai!$D$2:$D$500,"&lt;&gt;Papildomi (R+)")+MIN(SUMIFS(Rezultatai!$J$2:$J$500,Rezultatai!$B$2:$B$500,$K42,Rezultatai!$A$2:$A$500,$C$2-1,Rezultatai!$D$2:$D$500,"Papildomi (R+)"),0.15*(SUMIFS(Rezultatai!$J$2:$J$500,Rezultatai!$B$2:$B$500,$K42,Rezultatai!$A$2:$A$500,$C$2-1,Rezultatai!$D$2:$D$500,"&lt;&gt;Papildomi (R+)"))))*MIN(450,400+(1/70)*(SUMIFS(Parametrai!$B$2:$B$40,Parametrai!$A$2:$A$40,$C$2-1)-2500)))</f>
        <v>0</v>
      </c>
      <c r="O42" s="18">
        <f>IF($K42="","",(SUMIFS(Rezultatai!$J$2:$J$500,Rezultatai!$B$2:$B$500,$K42,Rezultatai!$A$2:$A$500,$C$2,Rezultatai!$D$2:$D$500,"&lt;&gt;Papildomi (R+)")+MIN(SUMIFS(Rezultatai!$J$2:$J$500,Rezultatai!$B$2:$B$500,$K42,Rezultatai!$A$2:$A$500,$C$2,Rezultatai!$D$2:$D$500,"Papildomi (R+)"),0.15*(SUMIFS(Rezultatai!$J$2:$J$500,Rezultatai!$B$2:$B$500,$K42,Rezultatai!$A$2:$A$500,$C$2,Rezultatai!$D$2:$D$500,"&lt;&gt;Papildomi (R+)"))))*MIN(550,450+(1/35)*(SUMIFS(Parametrai!$B$2:$B$40,Parametrai!$A$2:$A$40,$C$2)-2500)))</f>
        <v>0</v>
      </c>
      <c r="P42" s="18">
        <f t="shared" si="16"/>
        <v>0</v>
      </c>
      <c r="Q42" s="17">
        <f t="shared" si="17"/>
        <v>23</v>
      </c>
      <c r="R42" s="17">
        <f>IF($K42="","",IF($F$2="Pilotas",SUMPRODUCT(($K$6:$K$105&lt;&gt;"")*($K$6:$K$105&lt;$K42))+COUNTIF($K$6:$K42,$K42),IF($F$2="Klubas",SUMPRODUCT(($K$6:$K$105&lt;&gt;"")*($L$6:$L$105&lt;$L42))+SUMPRODUCT(($K$6:$K$105&lt;&gt;"")*($L$6:$L$105=$L42)*($Q$6:$Q$105&lt;$Q42))+COUNTIFS($L$6:$L42,$L42,$Q$6:$Q42,$Q42),IF($F$2="Nr",COUNTIF($K$6:$K42,"?*"),$Q42+COUNTIF($Q$6:$Q42,$Q42)-1))))</f>
        <v>37</v>
      </c>
    </row>
    <row r="43" spans="1:18" ht="15" customHeight="1" x14ac:dyDescent="0.3">
      <c r="A43" s="13">
        <f>IFERROR(MATCH(38,$R$6:$R$105,0),"")</f>
        <v>38</v>
      </c>
      <c r="B43" s="13" t="str">
        <f t="shared" si="9"/>
        <v>Romualdas Knėpa</v>
      </c>
      <c r="C43" s="13" t="str">
        <f t="shared" si="10"/>
        <v>Kauno AASK</v>
      </c>
      <c r="D43" s="14">
        <f t="shared" si="11"/>
        <v>0</v>
      </c>
      <c r="E43" s="14">
        <f t="shared" si="12"/>
        <v>0</v>
      </c>
      <c r="F43" s="14">
        <f t="shared" si="13"/>
        <v>0</v>
      </c>
      <c r="G43" s="15">
        <f t="shared" si="14"/>
        <v>0</v>
      </c>
      <c r="H43" s="16">
        <f t="shared" si="15"/>
        <v>23</v>
      </c>
      <c r="K43" s="17" t="str">
        <f>IF(Pilotai!B39="","",Pilotai!B39)</f>
        <v>Romualdas Knėpa</v>
      </c>
      <c r="L43" s="17" t="str">
        <f>IF($K43="","",Pilotai!C39)</f>
        <v>Kauno AASK</v>
      </c>
      <c r="M43" s="18">
        <f>IF($K43="","",(SUMIFS(Rezultatai!$J$2:$J$500,Rezultatai!$B$2:$B$500,$K43,Rezultatai!$A$2:$A$500,$C$2-2,Rezultatai!$D$2:$D$500,"&lt;&gt;Papildomi (R+)")+MIN(SUMIFS(Rezultatai!$J$2:$J$500,Rezultatai!$B$2:$B$500,$K43,Rezultatai!$A$2:$A$500,$C$2-2,Rezultatai!$D$2:$D$500,"Papildomi (R+)"),0.15*(SUMIFS(Rezultatai!$J$2:$J$500,Rezultatai!$B$2:$B$500,$K43,Rezultatai!$A$2:$A$500,$C$2-2,Rezultatai!$D$2:$D$500,"&lt;&gt;Papildomi (R+)"))))*MIN(425,375+(1/70)*(SUMIFS(Parametrai!$B$2:$B$40,Parametrai!$A$2:$A$40,$C$2-2)-2500)))</f>
        <v>0</v>
      </c>
      <c r="N43" s="18">
        <f>IF($K43="","",(SUMIFS(Rezultatai!$J$2:$J$500,Rezultatai!$B$2:$B$500,$K43,Rezultatai!$A$2:$A$500,$C$2-1,Rezultatai!$D$2:$D$500,"&lt;&gt;Papildomi (R+)")+MIN(SUMIFS(Rezultatai!$J$2:$J$500,Rezultatai!$B$2:$B$500,$K43,Rezultatai!$A$2:$A$500,$C$2-1,Rezultatai!$D$2:$D$500,"Papildomi (R+)"),0.15*(SUMIFS(Rezultatai!$J$2:$J$500,Rezultatai!$B$2:$B$500,$K43,Rezultatai!$A$2:$A$500,$C$2-1,Rezultatai!$D$2:$D$500,"&lt;&gt;Papildomi (R+)"))))*MIN(450,400+(1/70)*(SUMIFS(Parametrai!$B$2:$B$40,Parametrai!$A$2:$A$40,$C$2-1)-2500)))</f>
        <v>0</v>
      </c>
      <c r="O43" s="18">
        <f>IF($K43="","",(SUMIFS(Rezultatai!$J$2:$J$500,Rezultatai!$B$2:$B$500,$K43,Rezultatai!$A$2:$A$500,$C$2,Rezultatai!$D$2:$D$500,"&lt;&gt;Papildomi (R+)")+MIN(SUMIFS(Rezultatai!$J$2:$J$500,Rezultatai!$B$2:$B$500,$K43,Rezultatai!$A$2:$A$500,$C$2,Rezultatai!$D$2:$D$500,"Papildomi (R+)"),0.15*(SUMIFS(Rezultatai!$J$2:$J$500,Rezultatai!$B$2:$B$500,$K43,Rezultatai!$A$2:$A$500,$C$2,Rezultatai!$D$2:$D$500,"&lt;&gt;Papildomi (R+)"))))*MIN(550,450+(1/35)*(SUMIFS(Parametrai!$B$2:$B$40,Parametrai!$A$2:$A$40,$C$2)-2500)))</f>
        <v>0</v>
      </c>
      <c r="P43" s="18">
        <f t="shared" si="16"/>
        <v>0</v>
      </c>
      <c r="Q43" s="17">
        <f t="shared" si="17"/>
        <v>23</v>
      </c>
      <c r="R43" s="17">
        <f>IF($K43="","",IF($F$2="Pilotas",SUMPRODUCT(($K$6:$K$105&lt;&gt;"")*($K$6:$K$105&lt;$K43))+COUNTIF($K$6:$K43,$K43),IF($F$2="Klubas",SUMPRODUCT(($K$6:$K$105&lt;&gt;"")*($L$6:$L$105&lt;$L43))+SUMPRODUCT(($K$6:$K$105&lt;&gt;"")*($L$6:$L$105=$L43)*($Q$6:$Q$105&lt;$Q43))+COUNTIFS($L$6:$L43,$L43,$Q$6:$Q43,$Q43),IF($F$2="Nr",COUNTIF($K$6:$K43,"?*"),$Q43+COUNTIF($Q$6:$Q43,$Q43)-1))))</f>
        <v>38</v>
      </c>
    </row>
    <row r="44" spans="1:18" ht="15" customHeight="1" x14ac:dyDescent="0.3">
      <c r="A44" s="13">
        <f>IFERROR(MATCH(39,$R$6:$R$105,0),"")</f>
        <v>39</v>
      </c>
      <c r="B44" s="13" t="str">
        <f t="shared" si="9"/>
        <v>Martynas Bykovas</v>
      </c>
      <c r="C44" s="13" t="str">
        <f t="shared" si="10"/>
        <v>Kauno AASK</v>
      </c>
      <c r="D44" s="14">
        <f t="shared" si="11"/>
        <v>0</v>
      </c>
      <c r="E44" s="14">
        <f t="shared" si="12"/>
        <v>0</v>
      </c>
      <c r="F44" s="14">
        <f t="shared" si="13"/>
        <v>0</v>
      </c>
      <c r="G44" s="15">
        <f t="shared" si="14"/>
        <v>0</v>
      </c>
      <c r="H44" s="16">
        <f t="shared" si="15"/>
        <v>23</v>
      </c>
      <c r="K44" s="17" t="str">
        <f>IF(Pilotai!B40="","",Pilotai!B40)</f>
        <v>Martynas Bykovas</v>
      </c>
      <c r="L44" s="17" t="str">
        <f>IF($K44="","",Pilotai!C40)</f>
        <v>Kauno AASK</v>
      </c>
      <c r="M44" s="18">
        <f>IF($K44="","",(SUMIFS(Rezultatai!$J$2:$J$500,Rezultatai!$B$2:$B$500,$K44,Rezultatai!$A$2:$A$500,$C$2-2,Rezultatai!$D$2:$D$500,"&lt;&gt;Papildomi (R+)")+MIN(SUMIFS(Rezultatai!$J$2:$J$500,Rezultatai!$B$2:$B$500,$K44,Rezultatai!$A$2:$A$500,$C$2-2,Rezultatai!$D$2:$D$500,"Papildomi (R+)"),0.15*(SUMIFS(Rezultatai!$J$2:$J$500,Rezultatai!$B$2:$B$500,$K44,Rezultatai!$A$2:$A$500,$C$2-2,Rezultatai!$D$2:$D$500,"&lt;&gt;Papildomi (R+)"))))*MIN(425,375+(1/70)*(SUMIFS(Parametrai!$B$2:$B$40,Parametrai!$A$2:$A$40,$C$2-2)-2500)))</f>
        <v>0</v>
      </c>
      <c r="N44" s="18">
        <f>IF($K44="","",(SUMIFS(Rezultatai!$J$2:$J$500,Rezultatai!$B$2:$B$500,$K44,Rezultatai!$A$2:$A$500,$C$2-1,Rezultatai!$D$2:$D$500,"&lt;&gt;Papildomi (R+)")+MIN(SUMIFS(Rezultatai!$J$2:$J$500,Rezultatai!$B$2:$B$500,$K44,Rezultatai!$A$2:$A$500,$C$2-1,Rezultatai!$D$2:$D$500,"Papildomi (R+)"),0.15*(SUMIFS(Rezultatai!$J$2:$J$500,Rezultatai!$B$2:$B$500,$K44,Rezultatai!$A$2:$A$500,$C$2-1,Rezultatai!$D$2:$D$500,"&lt;&gt;Papildomi (R+)"))))*MIN(450,400+(1/70)*(SUMIFS(Parametrai!$B$2:$B$40,Parametrai!$A$2:$A$40,$C$2-1)-2500)))</f>
        <v>0</v>
      </c>
      <c r="O44" s="18">
        <f>IF($K44="","",(SUMIFS(Rezultatai!$J$2:$J$500,Rezultatai!$B$2:$B$500,$K44,Rezultatai!$A$2:$A$500,$C$2,Rezultatai!$D$2:$D$500,"&lt;&gt;Papildomi (R+)")+MIN(SUMIFS(Rezultatai!$J$2:$J$500,Rezultatai!$B$2:$B$500,$K44,Rezultatai!$A$2:$A$500,$C$2,Rezultatai!$D$2:$D$500,"Papildomi (R+)"),0.15*(SUMIFS(Rezultatai!$J$2:$J$500,Rezultatai!$B$2:$B$500,$K44,Rezultatai!$A$2:$A$500,$C$2,Rezultatai!$D$2:$D$500,"&lt;&gt;Papildomi (R+)"))))*MIN(550,450+(1/35)*(SUMIFS(Parametrai!$B$2:$B$40,Parametrai!$A$2:$A$40,$C$2)-2500)))</f>
        <v>0</v>
      </c>
      <c r="P44" s="18">
        <f t="shared" si="16"/>
        <v>0</v>
      </c>
      <c r="Q44" s="17">
        <f t="shared" si="17"/>
        <v>23</v>
      </c>
      <c r="R44" s="17">
        <f>IF($K44="","",IF($F$2="Pilotas",SUMPRODUCT(($K$6:$K$105&lt;&gt;"")*($K$6:$K$105&lt;$K44))+COUNTIF($K$6:$K44,$K44),IF($F$2="Klubas",SUMPRODUCT(($K$6:$K$105&lt;&gt;"")*($L$6:$L$105&lt;$L44))+SUMPRODUCT(($K$6:$K$105&lt;&gt;"")*($L$6:$L$105=$L44)*($Q$6:$Q$105&lt;$Q44))+COUNTIFS($L$6:$L44,$L44,$Q$6:$Q44,$Q44),IF($F$2="Nr",COUNTIF($K$6:$K44,"?*"),$Q44+COUNTIF($Q$6:$Q44,$Q44)-1))))</f>
        <v>39</v>
      </c>
    </row>
    <row r="45" spans="1:18" ht="15" customHeight="1" x14ac:dyDescent="0.3">
      <c r="A45" s="13">
        <f>IFERROR(MATCH(40,$R$6:$R$105,0),"")</f>
        <v>40</v>
      </c>
      <c r="B45" s="13" t="str">
        <f t="shared" si="9"/>
        <v>Kęstutis Miliūnas</v>
      </c>
      <c r="C45" s="13" t="str">
        <f t="shared" si="10"/>
        <v>Kauno AASK</v>
      </c>
      <c r="D45" s="14">
        <f t="shared" si="11"/>
        <v>0</v>
      </c>
      <c r="E45" s="14">
        <f t="shared" si="12"/>
        <v>0</v>
      </c>
      <c r="F45" s="14">
        <f t="shared" si="13"/>
        <v>0</v>
      </c>
      <c r="G45" s="15">
        <f t="shared" si="14"/>
        <v>0</v>
      </c>
      <c r="H45" s="16">
        <f t="shared" si="15"/>
        <v>23</v>
      </c>
      <c r="K45" s="17" t="str">
        <f>IF(Pilotai!B41="","",Pilotai!B41)</f>
        <v>Kęstutis Miliūnas</v>
      </c>
      <c r="L45" s="17" t="str">
        <f>IF($K45="","",Pilotai!C41)</f>
        <v>Kauno AASK</v>
      </c>
      <c r="M45" s="18">
        <f>IF($K45="","",(SUMIFS(Rezultatai!$J$2:$J$500,Rezultatai!$B$2:$B$500,$K45,Rezultatai!$A$2:$A$500,$C$2-2,Rezultatai!$D$2:$D$500,"&lt;&gt;Papildomi (R+)")+MIN(SUMIFS(Rezultatai!$J$2:$J$500,Rezultatai!$B$2:$B$500,$K45,Rezultatai!$A$2:$A$500,$C$2-2,Rezultatai!$D$2:$D$500,"Papildomi (R+)"),0.15*(SUMIFS(Rezultatai!$J$2:$J$500,Rezultatai!$B$2:$B$500,$K45,Rezultatai!$A$2:$A$500,$C$2-2,Rezultatai!$D$2:$D$500,"&lt;&gt;Papildomi (R+)"))))*MIN(425,375+(1/70)*(SUMIFS(Parametrai!$B$2:$B$40,Parametrai!$A$2:$A$40,$C$2-2)-2500)))</f>
        <v>0</v>
      </c>
      <c r="N45" s="18">
        <f>IF($K45="","",(SUMIFS(Rezultatai!$J$2:$J$500,Rezultatai!$B$2:$B$500,$K45,Rezultatai!$A$2:$A$500,$C$2-1,Rezultatai!$D$2:$D$500,"&lt;&gt;Papildomi (R+)")+MIN(SUMIFS(Rezultatai!$J$2:$J$500,Rezultatai!$B$2:$B$500,$K45,Rezultatai!$A$2:$A$500,$C$2-1,Rezultatai!$D$2:$D$500,"Papildomi (R+)"),0.15*(SUMIFS(Rezultatai!$J$2:$J$500,Rezultatai!$B$2:$B$500,$K45,Rezultatai!$A$2:$A$500,$C$2-1,Rezultatai!$D$2:$D$500,"&lt;&gt;Papildomi (R+)"))))*MIN(450,400+(1/70)*(SUMIFS(Parametrai!$B$2:$B$40,Parametrai!$A$2:$A$40,$C$2-1)-2500)))</f>
        <v>0</v>
      </c>
      <c r="O45" s="18">
        <f>IF($K45="","",(SUMIFS(Rezultatai!$J$2:$J$500,Rezultatai!$B$2:$B$500,$K45,Rezultatai!$A$2:$A$500,$C$2,Rezultatai!$D$2:$D$500,"&lt;&gt;Papildomi (R+)")+MIN(SUMIFS(Rezultatai!$J$2:$J$500,Rezultatai!$B$2:$B$500,$K45,Rezultatai!$A$2:$A$500,$C$2,Rezultatai!$D$2:$D$500,"Papildomi (R+)"),0.15*(SUMIFS(Rezultatai!$J$2:$J$500,Rezultatai!$B$2:$B$500,$K45,Rezultatai!$A$2:$A$500,$C$2,Rezultatai!$D$2:$D$500,"&lt;&gt;Papildomi (R+)"))))*MIN(550,450+(1/35)*(SUMIFS(Parametrai!$B$2:$B$40,Parametrai!$A$2:$A$40,$C$2)-2500)))</f>
        <v>0</v>
      </c>
      <c r="P45" s="18">
        <f t="shared" si="16"/>
        <v>0</v>
      </c>
      <c r="Q45" s="17">
        <f t="shared" si="17"/>
        <v>23</v>
      </c>
      <c r="R45" s="17">
        <f>IF($K45="","",IF($F$2="Pilotas",SUMPRODUCT(($K$6:$K$105&lt;&gt;"")*($K$6:$K$105&lt;$K45))+COUNTIF($K$6:$K45,$K45),IF($F$2="Klubas",SUMPRODUCT(($K$6:$K$105&lt;&gt;"")*($L$6:$L$105&lt;$L45))+SUMPRODUCT(($K$6:$K$105&lt;&gt;"")*($L$6:$L$105=$L45)*($Q$6:$Q$105&lt;$Q45))+COUNTIFS($L$6:$L45,$L45,$Q$6:$Q45,$Q45),IF($F$2="Nr",COUNTIF($K$6:$K45,"?*"),$Q45+COUNTIF($Q$6:$Q45,$Q45)-1))))</f>
        <v>40</v>
      </c>
    </row>
    <row r="46" spans="1:18" ht="15" customHeight="1" x14ac:dyDescent="0.3">
      <c r="A46" s="13">
        <f>IFERROR(MATCH(41,$R$6:$R$105,0),"")</f>
        <v>41</v>
      </c>
      <c r="B46" s="13" t="str">
        <f t="shared" si="9"/>
        <v>Romualdas Konteikis</v>
      </c>
      <c r="C46" s="13" t="str">
        <f t="shared" si="10"/>
        <v>Kauno AASK</v>
      </c>
      <c r="D46" s="14">
        <f t="shared" si="11"/>
        <v>0</v>
      </c>
      <c r="E46" s="14">
        <f t="shared" si="12"/>
        <v>0</v>
      </c>
      <c r="F46" s="14">
        <f t="shared" si="13"/>
        <v>0</v>
      </c>
      <c r="G46" s="15">
        <f t="shared" si="14"/>
        <v>0</v>
      </c>
      <c r="H46" s="16">
        <f t="shared" si="15"/>
        <v>23</v>
      </c>
      <c r="K46" s="17" t="str">
        <f>IF(Pilotai!B42="","",Pilotai!B42)</f>
        <v>Romualdas Konteikis</v>
      </c>
      <c r="L46" s="17" t="str">
        <f>IF($K46="","",Pilotai!C42)</f>
        <v>Kauno AASK</v>
      </c>
      <c r="M46" s="18">
        <f>IF($K46="","",(SUMIFS(Rezultatai!$J$2:$J$500,Rezultatai!$B$2:$B$500,$K46,Rezultatai!$A$2:$A$500,$C$2-2,Rezultatai!$D$2:$D$500,"&lt;&gt;Papildomi (R+)")+MIN(SUMIFS(Rezultatai!$J$2:$J$500,Rezultatai!$B$2:$B$500,$K46,Rezultatai!$A$2:$A$500,$C$2-2,Rezultatai!$D$2:$D$500,"Papildomi (R+)"),0.15*(SUMIFS(Rezultatai!$J$2:$J$500,Rezultatai!$B$2:$B$500,$K46,Rezultatai!$A$2:$A$500,$C$2-2,Rezultatai!$D$2:$D$500,"&lt;&gt;Papildomi (R+)"))))*MIN(425,375+(1/70)*(SUMIFS(Parametrai!$B$2:$B$40,Parametrai!$A$2:$A$40,$C$2-2)-2500)))</f>
        <v>0</v>
      </c>
      <c r="N46" s="18">
        <f>IF($K46="","",(SUMIFS(Rezultatai!$J$2:$J$500,Rezultatai!$B$2:$B$500,$K46,Rezultatai!$A$2:$A$500,$C$2-1,Rezultatai!$D$2:$D$500,"&lt;&gt;Papildomi (R+)")+MIN(SUMIFS(Rezultatai!$J$2:$J$500,Rezultatai!$B$2:$B$500,$K46,Rezultatai!$A$2:$A$500,$C$2-1,Rezultatai!$D$2:$D$500,"Papildomi (R+)"),0.15*(SUMIFS(Rezultatai!$J$2:$J$500,Rezultatai!$B$2:$B$500,$K46,Rezultatai!$A$2:$A$500,$C$2-1,Rezultatai!$D$2:$D$500,"&lt;&gt;Papildomi (R+)"))))*MIN(450,400+(1/70)*(SUMIFS(Parametrai!$B$2:$B$40,Parametrai!$A$2:$A$40,$C$2-1)-2500)))</f>
        <v>0</v>
      </c>
      <c r="O46" s="18">
        <f>IF($K46="","",(SUMIFS(Rezultatai!$J$2:$J$500,Rezultatai!$B$2:$B$500,$K46,Rezultatai!$A$2:$A$500,$C$2,Rezultatai!$D$2:$D$500,"&lt;&gt;Papildomi (R+)")+MIN(SUMIFS(Rezultatai!$J$2:$J$500,Rezultatai!$B$2:$B$500,$K46,Rezultatai!$A$2:$A$500,$C$2,Rezultatai!$D$2:$D$500,"Papildomi (R+)"),0.15*(SUMIFS(Rezultatai!$J$2:$J$500,Rezultatai!$B$2:$B$500,$K46,Rezultatai!$A$2:$A$500,$C$2,Rezultatai!$D$2:$D$500,"&lt;&gt;Papildomi (R+)"))))*MIN(550,450+(1/35)*(SUMIFS(Parametrai!$B$2:$B$40,Parametrai!$A$2:$A$40,$C$2)-2500)))</f>
        <v>0</v>
      </c>
      <c r="P46" s="18">
        <f t="shared" si="16"/>
        <v>0</v>
      </c>
      <c r="Q46" s="17">
        <f t="shared" si="17"/>
        <v>23</v>
      </c>
      <c r="R46" s="17">
        <f>IF($K46="","",IF($F$2="Pilotas",SUMPRODUCT(($K$6:$K$105&lt;&gt;"")*($K$6:$K$105&lt;$K46))+COUNTIF($K$6:$K46,$K46),IF($F$2="Klubas",SUMPRODUCT(($K$6:$K$105&lt;&gt;"")*($L$6:$L$105&lt;$L46))+SUMPRODUCT(($K$6:$K$105&lt;&gt;"")*($L$6:$L$105=$L46)*($Q$6:$Q$105&lt;$Q46))+COUNTIFS($L$6:$L46,$L46,$Q$6:$Q46,$Q46),IF($F$2="Nr",COUNTIF($K$6:$K46,"?*"),$Q46+COUNTIF($Q$6:$Q46,$Q46)-1))))</f>
        <v>41</v>
      </c>
    </row>
    <row r="47" spans="1:18" ht="15" customHeight="1" x14ac:dyDescent="0.3">
      <c r="A47" s="13">
        <f>IFERROR(MATCH(42,$R$6:$R$105,0),"")</f>
        <v>42</v>
      </c>
      <c r="B47" s="13" t="str">
        <f t="shared" si="9"/>
        <v>Sakalas Uždavinys</v>
      </c>
      <c r="C47" s="13" t="str">
        <f t="shared" si="10"/>
        <v>Vilniaus Aeroklubas</v>
      </c>
      <c r="D47" s="14">
        <f t="shared" si="11"/>
        <v>0</v>
      </c>
      <c r="E47" s="14">
        <f t="shared" si="12"/>
        <v>0</v>
      </c>
      <c r="F47" s="14">
        <f t="shared" si="13"/>
        <v>0</v>
      </c>
      <c r="G47" s="15">
        <f t="shared" si="14"/>
        <v>0</v>
      </c>
      <c r="H47" s="16">
        <f t="shared" si="15"/>
        <v>23</v>
      </c>
      <c r="K47" s="17" t="str">
        <f>IF(Pilotai!B43="","",Pilotai!B43)</f>
        <v>Sakalas Uždavinys</v>
      </c>
      <c r="L47" s="17" t="str">
        <f>IF($K47="","",Pilotai!C43)</f>
        <v>Vilniaus Aeroklubas</v>
      </c>
      <c r="M47" s="18">
        <f>IF($K47="","",(SUMIFS(Rezultatai!$J$2:$J$500,Rezultatai!$B$2:$B$500,$K47,Rezultatai!$A$2:$A$500,$C$2-2,Rezultatai!$D$2:$D$500,"&lt;&gt;Papildomi (R+)")+MIN(SUMIFS(Rezultatai!$J$2:$J$500,Rezultatai!$B$2:$B$500,$K47,Rezultatai!$A$2:$A$500,$C$2-2,Rezultatai!$D$2:$D$500,"Papildomi (R+)"),0.15*(SUMIFS(Rezultatai!$J$2:$J$500,Rezultatai!$B$2:$B$500,$K47,Rezultatai!$A$2:$A$500,$C$2-2,Rezultatai!$D$2:$D$500,"&lt;&gt;Papildomi (R+)"))))*MIN(425,375+(1/70)*(SUMIFS(Parametrai!$B$2:$B$40,Parametrai!$A$2:$A$40,$C$2-2)-2500)))</f>
        <v>0</v>
      </c>
      <c r="N47" s="18">
        <f>IF($K47="","",(SUMIFS(Rezultatai!$J$2:$J$500,Rezultatai!$B$2:$B$500,$K47,Rezultatai!$A$2:$A$500,$C$2-1,Rezultatai!$D$2:$D$500,"&lt;&gt;Papildomi (R+)")+MIN(SUMIFS(Rezultatai!$J$2:$J$500,Rezultatai!$B$2:$B$500,$K47,Rezultatai!$A$2:$A$500,$C$2-1,Rezultatai!$D$2:$D$500,"Papildomi (R+)"),0.15*(SUMIFS(Rezultatai!$J$2:$J$500,Rezultatai!$B$2:$B$500,$K47,Rezultatai!$A$2:$A$500,$C$2-1,Rezultatai!$D$2:$D$500,"&lt;&gt;Papildomi (R+)"))))*MIN(450,400+(1/70)*(SUMIFS(Parametrai!$B$2:$B$40,Parametrai!$A$2:$A$40,$C$2-1)-2500)))</f>
        <v>0</v>
      </c>
      <c r="O47" s="18">
        <f>IF($K47="","",(SUMIFS(Rezultatai!$J$2:$J$500,Rezultatai!$B$2:$B$500,$K47,Rezultatai!$A$2:$A$500,$C$2,Rezultatai!$D$2:$D$500,"&lt;&gt;Papildomi (R+)")+MIN(SUMIFS(Rezultatai!$J$2:$J$500,Rezultatai!$B$2:$B$500,$K47,Rezultatai!$A$2:$A$500,$C$2,Rezultatai!$D$2:$D$500,"Papildomi (R+)"),0.15*(SUMIFS(Rezultatai!$J$2:$J$500,Rezultatai!$B$2:$B$500,$K47,Rezultatai!$A$2:$A$500,$C$2,Rezultatai!$D$2:$D$500,"&lt;&gt;Papildomi (R+)"))))*MIN(550,450+(1/35)*(SUMIFS(Parametrai!$B$2:$B$40,Parametrai!$A$2:$A$40,$C$2)-2500)))</f>
        <v>0</v>
      </c>
      <c r="P47" s="18">
        <f t="shared" si="16"/>
        <v>0</v>
      </c>
      <c r="Q47" s="17">
        <f t="shared" si="17"/>
        <v>23</v>
      </c>
      <c r="R47" s="17">
        <f>IF($K47="","",IF($F$2="Pilotas",SUMPRODUCT(($K$6:$K$105&lt;&gt;"")*($K$6:$K$105&lt;$K47))+COUNTIF($K$6:$K47,$K47),IF($F$2="Klubas",SUMPRODUCT(($K$6:$K$105&lt;&gt;"")*($L$6:$L$105&lt;$L47))+SUMPRODUCT(($K$6:$K$105&lt;&gt;"")*($L$6:$L$105=$L47)*($Q$6:$Q$105&lt;$Q47))+COUNTIFS($L$6:$L47,$L47,$Q$6:$Q47,$Q47),IF($F$2="Nr",COUNTIF($K$6:$K47,"?*"),$Q47+COUNTIF($Q$6:$Q47,$Q47)-1))))</f>
        <v>42</v>
      </c>
    </row>
    <row r="48" spans="1:18" ht="15" customHeight="1" x14ac:dyDescent="0.3">
      <c r="A48" s="13">
        <f>IFERROR(MATCH(43,$R$6:$R$105,0),"")</f>
        <v>43</v>
      </c>
      <c r="B48" s="13" t="str">
        <f t="shared" si="9"/>
        <v>Martynas Sližys</v>
      </c>
      <c r="C48" s="13" t="str">
        <f t="shared" si="10"/>
        <v>Kauno AASK</v>
      </c>
      <c r="D48" s="14">
        <f t="shared" si="11"/>
        <v>0</v>
      </c>
      <c r="E48" s="14">
        <f t="shared" si="12"/>
        <v>0</v>
      </c>
      <c r="F48" s="14">
        <f t="shared" si="13"/>
        <v>0</v>
      </c>
      <c r="G48" s="15">
        <f t="shared" si="14"/>
        <v>0</v>
      </c>
      <c r="H48" s="16">
        <f t="shared" si="15"/>
        <v>23</v>
      </c>
      <c r="K48" s="17" t="str">
        <f>IF(Pilotai!B44="","",Pilotai!B44)</f>
        <v>Martynas Sližys</v>
      </c>
      <c r="L48" s="17" t="str">
        <f>IF($K48="","",Pilotai!C44)</f>
        <v>Kauno AASK</v>
      </c>
      <c r="M48" s="18">
        <f>IF($K48="","",(SUMIFS(Rezultatai!$J$2:$J$500,Rezultatai!$B$2:$B$500,$K48,Rezultatai!$A$2:$A$500,$C$2-2,Rezultatai!$D$2:$D$500,"&lt;&gt;Papildomi (R+)")+MIN(SUMIFS(Rezultatai!$J$2:$J$500,Rezultatai!$B$2:$B$500,$K48,Rezultatai!$A$2:$A$500,$C$2-2,Rezultatai!$D$2:$D$500,"Papildomi (R+)"),0.15*(SUMIFS(Rezultatai!$J$2:$J$500,Rezultatai!$B$2:$B$500,$K48,Rezultatai!$A$2:$A$500,$C$2-2,Rezultatai!$D$2:$D$500,"&lt;&gt;Papildomi (R+)"))))*MIN(425,375+(1/70)*(SUMIFS(Parametrai!$B$2:$B$40,Parametrai!$A$2:$A$40,$C$2-2)-2500)))</f>
        <v>0</v>
      </c>
      <c r="N48" s="18">
        <f>IF($K48="","",(SUMIFS(Rezultatai!$J$2:$J$500,Rezultatai!$B$2:$B$500,$K48,Rezultatai!$A$2:$A$500,$C$2-1,Rezultatai!$D$2:$D$500,"&lt;&gt;Papildomi (R+)")+MIN(SUMIFS(Rezultatai!$J$2:$J$500,Rezultatai!$B$2:$B$500,$K48,Rezultatai!$A$2:$A$500,$C$2-1,Rezultatai!$D$2:$D$500,"Papildomi (R+)"),0.15*(SUMIFS(Rezultatai!$J$2:$J$500,Rezultatai!$B$2:$B$500,$K48,Rezultatai!$A$2:$A$500,$C$2-1,Rezultatai!$D$2:$D$500,"&lt;&gt;Papildomi (R+)"))))*MIN(450,400+(1/70)*(SUMIFS(Parametrai!$B$2:$B$40,Parametrai!$A$2:$A$40,$C$2-1)-2500)))</f>
        <v>0</v>
      </c>
      <c r="O48" s="18">
        <f>IF($K48="","",(SUMIFS(Rezultatai!$J$2:$J$500,Rezultatai!$B$2:$B$500,$K48,Rezultatai!$A$2:$A$500,$C$2,Rezultatai!$D$2:$D$500,"&lt;&gt;Papildomi (R+)")+MIN(SUMIFS(Rezultatai!$J$2:$J$500,Rezultatai!$B$2:$B$500,$K48,Rezultatai!$A$2:$A$500,$C$2,Rezultatai!$D$2:$D$500,"Papildomi (R+)"),0.15*(SUMIFS(Rezultatai!$J$2:$J$500,Rezultatai!$B$2:$B$500,$K48,Rezultatai!$A$2:$A$500,$C$2,Rezultatai!$D$2:$D$500,"&lt;&gt;Papildomi (R+)"))))*MIN(550,450+(1/35)*(SUMIFS(Parametrai!$B$2:$B$40,Parametrai!$A$2:$A$40,$C$2)-2500)))</f>
        <v>0</v>
      </c>
      <c r="P48" s="18">
        <f t="shared" si="16"/>
        <v>0</v>
      </c>
      <c r="Q48" s="17">
        <f t="shared" si="17"/>
        <v>23</v>
      </c>
      <c r="R48" s="17">
        <f>IF($K48="","",IF($F$2="Pilotas",SUMPRODUCT(($K$6:$K$105&lt;&gt;"")*($K$6:$K$105&lt;$K48))+COUNTIF($K$6:$K48,$K48),IF($F$2="Klubas",SUMPRODUCT(($K$6:$K$105&lt;&gt;"")*($L$6:$L$105&lt;$L48))+SUMPRODUCT(($K$6:$K$105&lt;&gt;"")*($L$6:$L$105=$L48)*($Q$6:$Q$105&lt;$Q48))+COUNTIFS($L$6:$L48,$L48,$Q$6:$Q48,$Q48),IF($F$2="Nr",COUNTIF($K$6:$K48,"?*"),$Q48+COUNTIF($Q$6:$Q48,$Q48)-1))))</f>
        <v>43</v>
      </c>
    </row>
    <row r="49" spans="1:18" ht="15" customHeight="1" x14ac:dyDescent="0.3">
      <c r="A49" s="13">
        <f>IFERROR(MATCH(44,$R$6:$R$105,0),"")</f>
        <v>44</v>
      </c>
      <c r="B49" s="13" t="str">
        <f t="shared" si="9"/>
        <v>Antanas Marčiukaitis</v>
      </c>
      <c r="C49" s="13" t="str">
        <f t="shared" si="10"/>
        <v>Kauno AASK</v>
      </c>
      <c r="D49" s="14">
        <f t="shared" si="11"/>
        <v>0</v>
      </c>
      <c r="E49" s="14">
        <f t="shared" si="12"/>
        <v>0</v>
      </c>
      <c r="F49" s="14">
        <f t="shared" si="13"/>
        <v>0</v>
      </c>
      <c r="G49" s="15">
        <f t="shared" si="14"/>
        <v>0</v>
      </c>
      <c r="H49" s="16">
        <f t="shared" si="15"/>
        <v>23</v>
      </c>
      <c r="K49" s="17" t="str">
        <f>IF(Pilotai!B45="","",Pilotai!B45)</f>
        <v>Antanas Marčiukaitis</v>
      </c>
      <c r="L49" s="17" t="str">
        <f>IF($K49="","",Pilotai!C45)</f>
        <v>Kauno AASK</v>
      </c>
      <c r="M49" s="18">
        <f>IF($K49="","",(SUMIFS(Rezultatai!$J$2:$J$500,Rezultatai!$B$2:$B$500,$K49,Rezultatai!$A$2:$A$500,$C$2-2,Rezultatai!$D$2:$D$500,"&lt;&gt;Papildomi (R+)")+MIN(SUMIFS(Rezultatai!$J$2:$J$500,Rezultatai!$B$2:$B$500,$K49,Rezultatai!$A$2:$A$500,$C$2-2,Rezultatai!$D$2:$D$500,"Papildomi (R+)"),0.15*(SUMIFS(Rezultatai!$J$2:$J$500,Rezultatai!$B$2:$B$500,$K49,Rezultatai!$A$2:$A$500,$C$2-2,Rezultatai!$D$2:$D$500,"&lt;&gt;Papildomi (R+)"))))*MIN(425,375+(1/70)*(SUMIFS(Parametrai!$B$2:$B$40,Parametrai!$A$2:$A$40,$C$2-2)-2500)))</f>
        <v>0</v>
      </c>
      <c r="N49" s="18">
        <f>IF($K49="","",(SUMIFS(Rezultatai!$J$2:$J$500,Rezultatai!$B$2:$B$500,$K49,Rezultatai!$A$2:$A$500,$C$2-1,Rezultatai!$D$2:$D$500,"&lt;&gt;Papildomi (R+)")+MIN(SUMIFS(Rezultatai!$J$2:$J$500,Rezultatai!$B$2:$B$500,$K49,Rezultatai!$A$2:$A$500,$C$2-1,Rezultatai!$D$2:$D$500,"Papildomi (R+)"),0.15*(SUMIFS(Rezultatai!$J$2:$J$500,Rezultatai!$B$2:$B$500,$K49,Rezultatai!$A$2:$A$500,$C$2-1,Rezultatai!$D$2:$D$500,"&lt;&gt;Papildomi (R+)"))))*MIN(450,400+(1/70)*(SUMIFS(Parametrai!$B$2:$B$40,Parametrai!$A$2:$A$40,$C$2-1)-2500)))</f>
        <v>0</v>
      </c>
      <c r="O49" s="18">
        <f>IF($K49="","",(SUMIFS(Rezultatai!$J$2:$J$500,Rezultatai!$B$2:$B$500,$K49,Rezultatai!$A$2:$A$500,$C$2,Rezultatai!$D$2:$D$500,"&lt;&gt;Papildomi (R+)")+MIN(SUMIFS(Rezultatai!$J$2:$J$500,Rezultatai!$B$2:$B$500,$K49,Rezultatai!$A$2:$A$500,$C$2,Rezultatai!$D$2:$D$500,"Papildomi (R+)"),0.15*(SUMIFS(Rezultatai!$J$2:$J$500,Rezultatai!$B$2:$B$500,$K49,Rezultatai!$A$2:$A$500,$C$2,Rezultatai!$D$2:$D$500,"&lt;&gt;Papildomi (R+)"))))*MIN(550,450+(1/35)*(SUMIFS(Parametrai!$B$2:$B$40,Parametrai!$A$2:$A$40,$C$2)-2500)))</f>
        <v>0</v>
      </c>
      <c r="P49" s="18">
        <f t="shared" si="16"/>
        <v>0</v>
      </c>
      <c r="Q49" s="17">
        <f t="shared" si="17"/>
        <v>23</v>
      </c>
      <c r="R49" s="17">
        <f>IF($K49="","",IF($F$2="Pilotas",SUMPRODUCT(($K$6:$K$105&lt;&gt;"")*($K$6:$K$105&lt;$K49))+COUNTIF($K$6:$K49,$K49),IF($F$2="Klubas",SUMPRODUCT(($K$6:$K$105&lt;&gt;"")*($L$6:$L$105&lt;$L49))+SUMPRODUCT(($K$6:$K$105&lt;&gt;"")*($L$6:$L$105=$L49)*($Q$6:$Q$105&lt;$Q49))+COUNTIFS($L$6:$L49,$L49,$Q$6:$Q49,$Q49),IF($F$2="Nr",COUNTIF($K$6:$K49,"?*"),$Q49+COUNTIF($Q$6:$Q49,$Q49)-1))))</f>
        <v>44</v>
      </c>
    </row>
    <row r="50" spans="1:18" ht="15" customHeight="1" x14ac:dyDescent="0.3">
      <c r="A50" s="13">
        <f>IFERROR(MATCH(45,$R$6:$R$105,0),"")</f>
        <v>45</v>
      </c>
      <c r="B50" s="13" t="str">
        <f t="shared" si="9"/>
        <v>Laurynas Šupinys</v>
      </c>
      <c r="C50" s="13" t="str">
        <f t="shared" si="10"/>
        <v>Kauno AASK</v>
      </c>
      <c r="D50" s="14">
        <f t="shared" si="11"/>
        <v>0</v>
      </c>
      <c r="E50" s="14">
        <f t="shared" si="12"/>
        <v>0</v>
      </c>
      <c r="F50" s="14">
        <f t="shared" si="13"/>
        <v>0</v>
      </c>
      <c r="G50" s="15">
        <f t="shared" si="14"/>
        <v>0</v>
      </c>
      <c r="H50" s="16">
        <f t="shared" si="15"/>
        <v>23</v>
      </c>
      <c r="K50" s="17" t="str">
        <f>IF(Pilotai!B46="","",Pilotai!B46)</f>
        <v>Laurynas Šupinys</v>
      </c>
      <c r="L50" s="17" t="str">
        <f>IF($K50="","",Pilotai!C46)</f>
        <v>Kauno AASK</v>
      </c>
      <c r="M50" s="18">
        <f>IF($K50="","",(SUMIFS(Rezultatai!$J$2:$J$500,Rezultatai!$B$2:$B$500,$K50,Rezultatai!$A$2:$A$500,$C$2-2,Rezultatai!$D$2:$D$500,"&lt;&gt;Papildomi (R+)")+MIN(SUMIFS(Rezultatai!$J$2:$J$500,Rezultatai!$B$2:$B$500,$K50,Rezultatai!$A$2:$A$500,$C$2-2,Rezultatai!$D$2:$D$500,"Papildomi (R+)"),0.15*(SUMIFS(Rezultatai!$J$2:$J$500,Rezultatai!$B$2:$B$500,$K50,Rezultatai!$A$2:$A$500,$C$2-2,Rezultatai!$D$2:$D$500,"&lt;&gt;Papildomi (R+)"))))*MIN(425,375+(1/70)*(SUMIFS(Parametrai!$B$2:$B$40,Parametrai!$A$2:$A$40,$C$2-2)-2500)))</f>
        <v>0</v>
      </c>
      <c r="N50" s="18">
        <f>IF($K50="","",(SUMIFS(Rezultatai!$J$2:$J$500,Rezultatai!$B$2:$B$500,$K50,Rezultatai!$A$2:$A$500,$C$2-1,Rezultatai!$D$2:$D$500,"&lt;&gt;Papildomi (R+)")+MIN(SUMIFS(Rezultatai!$J$2:$J$500,Rezultatai!$B$2:$B$500,$K50,Rezultatai!$A$2:$A$500,$C$2-1,Rezultatai!$D$2:$D$500,"Papildomi (R+)"),0.15*(SUMIFS(Rezultatai!$J$2:$J$500,Rezultatai!$B$2:$B$500,$K50,Rezultatai!$A$2:$A$500,$C$2-1,Rezultatai!$D$2:$D$500,"&lt;&gt;Papildomi (R+)"))))*MIN(450,400+(1/70)*(SUMIFS(Parametrai!$B$2:$B$40,Parametrai!$A$2:$A$40,$C$2-1)-2500)))</f>
        <v>0</v>
      </c>
      <c r="O50" s="18">
        <f>IF($K50="","",(SUMIFS(Rezultatai!$J$2:$J$500,Rezultatai!$B$2:$B$500,$K50,Rezultatai!$A$2:$A$500,$C$2,Rezultatai!$D$2:$D$500,"&lt;&gt;Papildomi (R+)")+MIN(SUMIFS(Rezultatai!$J$2:$J$500,Rezultatai!$B$2:$B$500,$K50,Rezultatai!$A$2:$A$500,$C$2,Rezultatai!$D$2:$D$500,"Papildomi (R+)"),0.15*(SUMIFS(Rezultatai!$J$2:$J$500,Rezultatai!$B$2:$B$500,$K50,Rezultatai!$A$2:$A$500,$C$2,Rezultatai!$D$2:$D$500,"&lt;&gt;Papildomi (R+)"))))*MIN(550,450+(1/35)*(SUMIFS(Parametrai!$B$2:$B$40,Parametrai!$A$2:$A$40,$C$2)-2500)))</f>
        <v>0</v>
      </c>
      <c r="P50" s="18">
        <f t="shared" si="16"/>
        <v>0</v>
      </c>
      <c r="Q50" s="17">
        <f t="shared" si="17"/>
        <v>23</v>
      </c>
      <c r="R50" s="17">
        <f>IF($K50="","",IF($F$2="Pilotas",SUMPRODUCT(($K$6:$K$105&lt;&gt;"")*($K$6:$K$105&lt;$K50))+COUNTIF($K$6:$K50,$K50),IF($F$2="Klubas",SUMPRODUCT(($K$6:$K$105&lt;&gt;"")*($L$6:$L$105&lt;$L50))+SUMPRODUCT(($K$6:$K$105&lt;&gt;"")*($L$6:$L$105=$L50)*($Q$6:$Q$105&lt;$Q50))+COUNTIFS($L$6:$L50,$L50,$Q$6:$Q50,$Q50),IF($F$2="Nr",COUNTIF($K$6:$K50,"?*"),$Q50+COUNTIF($Q$6:$Q50,$Q50)-1))))</f>
        <v>45</v>
      </c>
    </row>
    <row r="51" spans="1:18" ht="15" customHeight="1" x14ac:dyDescent="0.3">
      <c r="A51" s="13">
        <f>IFERROR(MATCH(46,$R$6:$R$105,0),"")</f>
        <v>46</v>
      </c>
      <c r="B51" s="13" t="str">
        <f t="shared" si="9"/>
        <v>Igor Volkov</v>
      </c>
      <c r="C51" s="13" t="str">
        <f t="shared" si="10"/>
        <v>Vilniaus Aeroklubas</v>
      </c>
      <c r="D51" s="14">
        <f t="shared" si="11"/>
        <v>0</v>
      </c>
      <c r="E51" s="14">
        <f t="shared" si="12"/>
        <v>0</v>
      </c>
      <c r="F51" s="14">
        <f t="shared" si="13"/>
        <v>0</v>
      </c>
      <c r="G51" s="15">
        <f t="shared" si="14"/>
        <v>0</v>
      </c>
      <c r="H51" s="16">
        <f t="shared" si="15"/>
        <v>23</v>
      </c>
      <c r="K51" s="17" t="str">
        <f>IF(Pilotai!B47="","",Pilotai!B47)</f>
        <v>Igor Volkov</v>
      </c>
      <c r="L51" s="17" t="str">
        <f>IF($K51="","",Pilotai!C47)</f>
        <v>Vilniaus Aeroklubas</v>
      </c>
      <c r="M51" s="18">
        <f>IF($K51="","",(SUMIFS(Rezultatai!$J$2:$J$500,Rezultatai!$B$2:$B$500,$K51,Rezultatai!$A$2:$A$500,$C$2-2,Rezultatai!$D$2:$D$500,"&lt;&gt;Papildomi (R+)")+MIN(SUMIFS(Rezultatai!$J$2:$J$500,Rezultatai!$B$2:$B$500,$K51,Rezultatai!$A$2:$A$500,$C$2-2,Rezultatai!$D$2:$D$500,"Papildomi (R+)"),0.15*(SUMIFS(Rezultatai!$J$2:$J$500,Rezultatai!$B$2:$B$500,$K51,Rezultatai!$A$2:$A$500,$C$2-2,Rezultatai!$D$2:$D$500,"&lt;&gt;Papildomi (R+)"))))*MIN(425,375+(1/70)*(SUMIFS(Parametrai!$B$2:$B$40,Parametrai!$A$2:$A$40,$C$2-2)-2500)))</f>
        <v>0</v>
      </c>
      <c r="N51" s="18">
        <f>IF($K51="","",(SUMIFS(Rezultatai!$J$2:$J$500,Rezultatai!$B$2:$B$500,$K51,Rezultatai!$A$2:$A$500,$C$2-1,Rezultatai!$D$2:$D$500,"&lt;&gt;Papildomi (R+)")+MIN(SUMIFS(Rezultatai!$J$2:$J$500,Rezultatai!$B$2:$B$500,$K51,Rezultatai!$A$2:$A$500,$C$2-1,Rezultatai!$D$2:$D$500,"Papildomi (R+)"),0.15*(SUMIFS(Rezultatai!$J$2:$J$500,Rezultatai!$B$2:$B$500,$K51,Rezultatai!$A$2:$A$500,$C$2-1,Rezultatai!$D$2:$D$500,"&lt;&gt;Papildomi (R+)"))))*MIN(450,400+(1/70)*(SUMIFS(Parametrai!$B$2:$B$40,Parametrai!$A$2:$A$40,$C$2-1)-2500)))</f>
        <v>0</v>
      </c>
      <c r="O51" s="18">
        <f>IF($K51="","",(SUMIFS(Rezultatai!$J$2:$J$500,Rezultatai!$B$2:$B$500,$K51,Rezultatai!$A$2:$A$500,$C$2,Rezultatai!$D$2:$D$500,"&lt;&gt;Papildomi (R+)")+MIN(SUMIFS(Rezultatai!$J$2:$J$500,Rezultatai!$B$2:$B$500,$K51,Rezultatai!$A$2:$A$500,$C$2,Rezultatai!$D$2:$D$500,"Papildomi (R+)"),0.15*(SUMIFS(Rezultatai!$J$2:$J$500,Rezultatai!$B$2:$B$500,$K51,Rezultatai!$A$2:$A$500,$C$2,Rezultatai!$D$2:$D$500,"&lt;&gt;Papildomi (R+)"))))*MIN(550,450+(1/35)*(SUMIFS(Parametrai!$B$2:$B$40,Parametrai!$A$2:$A$40,$C$2)-2500)))</f>
        <v>0</v>
      </c>
      <c r="P51" s="18">
        <f t="shared" si="16"/>
        <v>0</v>
      </c>
      <c r="Q51" s="17">
        <f t="shared" si="17"/>
        <v>23</v>
      </c>
      <c r="R51" s="17">
        <f>IF($K51="","",IF($F$2="Pilotas",SUMPRODUCT(($K$6:$K$105&lt;&gt;"")*($K$6:$K$105&lt;$K51))+COUNTIF($K$6:$K51,$K51),IF($F$2="Klubas",SUMPRODUCT(($K$6:$K$105&lt;&gt;"")*($L$6:$L$105&lt;$L51))+SUMPRODUCT(($K$6:$K$105&lt;&gt;"")*($L$6:$L$105=$L51)*($Q$6:$Q$105&lt;$Q51))+COUNTIFS($L$6:$L51,$L51,$Q$6:$Q51,$Q51),IF($F$2="Nr",COUNTIF($K$6:$K51,"?*"),$Q51+COUNTIF($Q$6:$Q51,$Q51)-1))))</f>
        <v>46</v>
      </c>
    </row>
    <row r="52" spans="1:18" ht="15" customHeight="1" x14ac:dyDescent="0.3">
      <c r="A52" s="13">
        <f>IFERROR(MATCH(47,$R$6:$R$105,0),"")</f>
        <v>47</v>
      </c>
      <c r="B52" s="13" t="str">
        <f t="shared" si="9"/>
        <v>Algimantas Jonušas</v>
      </c>
      <c r="C52" s="13" t="str">
        <f t="shared" si="10"/>
        <v>Kauno AASK</v>
      </c>
      <c r="D52" s="14">
        <f t="shared" si="11"/>
        <v>0</v>
      </c>
      <c r="E52" s="14">
        <f t="shared" si="12"/>
        <v>0</v>
      </c>
      <c r="F52" s="14">
        <f t="shared" si="13"/>
        <v>0</v>
      </c>
      <c r="G52" s="15">
        <f t="shared" si="14"/>
        <v>0</v>
      </c>
      <c r="H52" s="16">
        <f t="shared" si="15"/>
        <v>23</v>
      </c>
      <c r="K52" s="17" t="str">
        <f>IF(Pilotai!B48="","",Pilotai!B48)</f>
        <v>Algimantas Jonušas</v>
      </c>
      <c r="L52" s="17" t="str">
        <f>IF($K52="","",Pilotai!C48)</f>
        <v>Kauno AASK</v>
      </c>
      <c r="M52" s="18">
        <f>IF($K52="","",(SUMIFS(Rezultatai!$J$2:$J$500,Rezultatai!$B$2:$B$500,$K52,Rezultatai!$A$2:$A$500,$C$2-2,Rezultatai!$D$2:$D$500,"&lt;&gt;Papildomi (R+)")+MIN(SUMIFS(Rezultatai!$J$2:$J$500,Rezultatai!$B$2:$B$500,$K52,Rezultatai!$A$2:$A$500,$C$2-2,Rezultatai!$D$2:$D$500,"Papildomi (R+)"),0.15*(SUMIFS(Rezultatai!$J$2:$J$500,Rezultatai!$B$2:$B$500,$K52,Rezultatai!$A$2:$A$500,$C$2-2,Rezultatai!$D$2:$D$500,"&lt;&gt;Papildomi (R+)"))))*MIN(425,375+(1/70)*(SUMIFS(Parametrai!$B$2:$B$40,Parametrai!$A$2:$A$40,$C$2-2)-2500)))</f>
        <v>0</v>
      </c>
      <c r="N52" s="18">
        <f>IF($K52="","",(SUMIFS(Rezultatai!$J$2:$J$500,Rezultatai!$B$2:$B$500,$K52,Rezultatai!$A$2:$A$500,$C$2-1,Rezultatai!$D$2:$D$500,"&lt;&gt;Papildomi (R+)")+MIN(SUMIFS(Rezultatai!$J$2:$J$500,Rezultatai!$B$2:$B$500,$K52,Rezultatai!$A$2:$A$500,$C$2-1,Rezultatai!$D$2:$D$500,"Papildomi (R+)"),0.15*(SUMIFS(Rezultatai!$J$2:$J$500,Rezultatai!$B$2:$B$500,$K52,Rezultatai!$A$2:$A$500,$C$2-1,Rezultatai!$D$2:$D$500,"&lt;&gt;Papildomi (R+)"))))*MIN(450,400+(1/70)*(SUMIFS(Parametrai!$B$2:$B$40,Parametrai!$A$2:$A$40,$C$2-1)-2500)))</f>
        <v>0</v>
      </c>
      <c r="O52" s="18">
        <f>IF($K52="","",(SUMIFS(Rezultatai!$J$2:$J$500,Rezultatai!$B$2:$B$500,$K52,Rezultatai!$A$2:$A$500,$C$2,Rezultatai!$D$2:$D$500,"&lt;&gt;Papildomi (R+)")+MIN(SUMIFS(Rezultatai!$J$2:$J$500,Rezultatai!$B$2:$B$500,$K52,Rezultatai!$A$2:$A$500,$C$2,Rezultatai!$D$2:$D$500,"Papildomi (R+)"),0.15*(SUMIFS(Rezultatai!$J$2:$J$500,Rezultatai!$B$2:$B$500,$K52,Rezultatai!$A$2:$A$500,$C$2,Rezultatai!$D$2:$D$500,"&lt;&gt;Papildomi (R+)"))))*MIN(550,450+(1/35)*(SUMIFS(Parametrai!$B$2:$B$40,Parametrai!$A$2:$A$40,$C$2)-2500)))</f>
        <v>0</v>
      </c>
      <c r="P52" s="18">
        <f t="shared" si="16"/>
        <v>0</v>
      </c>
      <c r="Q52" s="17">
        <f t="shared" si="17"/>
        <v>23</v>
      </c>
      <c r="R52" s="17">
        <f>IF($K52="","",IF($F$2="Pilotas",SUMPRODUCT(($K$6:$K$105&lt;&gt;"")*($K$6:$K$105&lt;$K52))+COUNTIF($K$6:$K52,$K52),IF($F$2="Klubas",SUMPRODUCT(($K$6:$K$105&lt;&gt;"")*($L$6:$L$105&lt;$L52))+SUMPRODUCT(($K$6:$K$105&lt;&gt;"")*($L$6:$L$105=$L52)*($Q$6:$Q$105&lt;$Q52))+COUNTIFS($L$6:$L52,$L52,$Q$6:$Q52,$Q52),IF($F$2="Nr",COUNTIF($K$6:$K52,"?*"),$Q52+COUNTIF($Q$6:$Q52,$Q52)-1))))</f>
        <v>47</v>
      </c>
    </row>
    <row r="53" spans="1:18" ht="15" customHeight="1" x14ac:dyDescent="0.3">
      <c r="A53" s="13">
        <f>IFERROR(MATCH(48,$R$6:$R$105,0),"")</f>
        <v>48</v>
      </c>
      <c r="B53" s="13" t="str">
        <f t="shared" si="9"/>
        <v>Algimantas Miklasevicius</v>
      </c>
      <c r="C53" s="13" t="str">
        <f t="shared" si="10"/>
        <v>Vilniaus Aeroklubas</v>
      </c>
      <c r="D53" s="14">
        <f t="shared" si="11"/>
        <v>0</v>
      </c>
      <c r="E53" s="14">
        <f t="shared" si="12"/>
        <v>0</v>
      </c>
      <c r="F53" s="14">
        <f t="shared" si="13"/>
        <v>0</v>
      </c>
      <c r="G53" s="15">
        <f t="shared" si="14"/>
        <v>0</v>
      </c>
      <c r="H53" s="16">
        <f t="shared" si="15"/>
        <v>23</v>
      </c>
      <c r="K53" s="17" t="str">
        <f>IF(Pilotai!B49="","",Pilotai!B49)</f>
        <v>Algimantas Miklasevicius</v>
      </c>
      <c r="L53" s="17" t="str">
        <f>IF($K53="","",Pilotai!C49)</f>
        <v>Vilniaus Aeroklubas</v>
      </c>
      <c r="M53" s="18">
        <f>IF($K53="","",(SUMIFS(Rezultatai!$J$2:$J$500,Rezultatai!$B$2:$B$500,$K53,Rezultatai!$A$2:$A$500,$C$2-2,Rezultatai!$D$2:$D$500,"&lt;&gt;Papildomi (R+)")+MIN(SUMIFS(Rezultatai!$J$2:$J$500,Rezultatai!$B$2:$B$500,$K53,Rezultatai!$A$2:$A$500,$C$2-2,Rezultatai!$D$2:$D$500,"Papildomi (R+)"),0.15*(SUMIFS(Rezultatai!$J$2:$J$500,Rezultatai!$B$2:$B$500,$K53,Rezultatai!$A$2:$A$500,$C$2-2,Rezultatai!$D$2:$D$500,"&lt;&gt;Papildomi (R+)"))))*MIN(425,375+(1/70)*(SUMIFS(Parametrai!$B$2:$B$40,Parametrai!$A$2:$A$40,$C$2-2)-2500)))</f>
        <v>0</v>
      </c>
      <c r="N53" s="18">
        <f>IF($K53="","",(SUMIFS(Rezultatai!$J$2:$J$500,Rezultatai!$B$2:$B$500,$K53,Rezultatai!$A$2:$A$500,$C$2-1,Rezultatai!$D$2:$D$500,"&lt;&gt;Papildomi (R+)")+MIN(SUMIFS(Rezultatai!$J$2:$J$500,Rezultatai!$B$2:$B$500,$K53,Rezultatai!$A$2:$A$500,$C$2-1,Rezultatai!$D$2:$D$500,"Papildomi (R+)"),0.15*(SUMIFS(Rezultatai!$J$2:$J$500,Rezultatai!$B$2:$B$500,$K53,Rezultatai!$A$2:$A$500,$C$2-1,Rezultatai!$D$2:$D$500,"&lt;&gt;Papildomi (R+)"))))*MIN(450,400+(1/70)*(SUMIFS(Parametrai!$B$2:$B$40,Parametrai!$A$2:$A$40,$C$2-1)-2500)))</f>
        <v>0</v>
      </c>
      <c r="O53" s="18">
        <f>IF($K53="","",(SUMIFS(Rezultatai!$J$2:$J$500,Rezultatai!$B$2:$B$500,$K53,Rezultatai!$A$2:$A$500,$C$2,Rezultatai!$D$2:$D$500,"&lt;&gt;Papildomi (R+)")+MIN(SUMIFS(Rezultatai!$J$2:$J$500,Rezultatai!$B$2:$B$500,$K53,Rezultatai!$A$2:$A$500,$C$2,Rezultatai!$D$2:$D$500,"Papildomi (R+)"),0.15*(SUMIFS(Rezultatai!$J$2:$J$500,Rezultatai!$B$2:$B$500,$K53,Rezultatai!$A$2:$A$500,$C$2,Rezultatai!$D$2:$D$500,"&lt;&gt;Papildomi (R+)"))))*MIN(550,450+(1/35)*(SUMIFS(Parametrai!$B$2:$B$40,Parametrai!$A$2:$A$40,$C$2)-2500)))</f>
        <v>0</v>
      </c>
      <c r="P53" s="18">
        <f t="shared" si="16"/>
        <v>0</v>
      </c>
      <c r="Q53" s="17">
        <f t="shared" si="17"/>
        <v>23</v>
      </c>
      <c r="R53" s="17">
        <f>IF($K53="","",IF($F$2="Pilotas",SUMPRODUCT(($K$6:$K$105&lt;&gt;"")*($K$6:$K$105&lt;$K53))+COUNTIF($K$6:$K53,$K53),IF($F$2="Klubas",SUMPRODUCT(($K$6:$K$105&lt;&gt;"")*($L$6:$L$105&lt;$L53))+SUMPRODUCT(($K$6:$K$105&lt;&gt;"")*($L$6:$L$105=$L53)*($Q$6:$Q$105&lt;$Q53))+COUNTIFS($L$6:$L53,$L53,$Q$6:$Q53,$Q53),IF($F$2="Nr",COUNTIF($K$6:$K53,"?*"),$Q53+COUNTIF($Q$6:$Q53,$Q53)-1))))</f>
        <v>48</v>
      </c>
    </row>
    <row r="54" spans="1:18" ht="15" customHeight="1" x14ac:dyDescent="0.3">
      <c r="A54" s="13">
        <f>IFERROR(MATCH(49,$R$6:$R$105,0),"")</f>
        <v>49</v>
      </c>
      <c r="B54" s="13" t="str">
        <f t="shared" si="9"/>
        <v>Andrej Lebedev</v>
      </c>
      <c r="C54" s="13" t="str">
        <f t="shared" si="10"/>
        <v>Vilniaus Aeroklubas</v>
      </c>
      <c r="D54" s="14">
        <f t="shared" si="11"/>
        <v>0</v>
      </c>
      <c r="E54" s="14">
        <f t="shared" si="12"/>
        <v>0</v>
      </c>
      <c r="F54" s="14">
        <f t="shared" si="13"/>
        <v>0</v>
      </c>
      <c r="G54" s="15">
        <f t="shared" si="14"/>
        <v>0</v>
      </c>
      <c r="H54" s="16">
        <f t="shared" si="15"/>
        <v>23</v>
      </c>
      <c r="K54" s="17" t="str">
        <f>IF(Pilotai!B50="","",Pilotai!B50)</f>
        <v>Andrej Lebedev</v>
      </c>
      <c r="L54" s="17" t="str">
        <f>IF($K54="","",Pilotai!C50)</f>
        <v>Vilniaus Aeroklubas</v>
      </c>
      <c r="M54" s="18">
        <f>IF($K54="","",(SUMIFS(Rezultatai!$J$2:$J$500,Rezultatai!$B$2:$B$500,$K54,Rezultatai!$A$2:$A$500,$C$2-2,Rezultatai!$D$2:$D$500,"&lt;&gt;Papildomi (R+)")+MIN(SUMIFS(Rezultatai!$J$2:$J$500,Rezultatai!$B$2:$B$500,$K54,Rezultatai!$A$2:$A$500,$C$2-2,Rezultatai!$D$2:$D$500,"Papildomi (R+)"),0.15*(SUMIFS(Rezultatai!$J$2:$J$500,Rezultatai!$B$2:$B$500,$K54,Rezultatai!$A$2:$A$500,$C$2-2,Rezultatai!$D$2:$D$500,"&lt;&gt;Papildomi (R+)"))))*MIN(425,375+(1/70)*(SUMIFS(Parametrai!$B$2:$B$40,Parametrai!$A$2:$A$40,$C$2-2)-2500)))</f>
        <v>0</v>
      </c>
      <c r="N54" s="18">
        <f>IF($K54="","",(SUMIFS(Rezultatai!$J$2:$J$500,Rezultatai!$B$2:$B$500,$K54,Rezultatai!$A$2:$A$500,$C$2-1,Rezultatai!$D$2:$D$500,"&lt;&gt;Papildomi (R+)")+MIN(SUMIFS(Rezultatai!$J$2:$J$500,Rezultatai!$B$2:$B$500,$K54,Rezultatai!$A$2:$A$500,$C$2-1,Rezultatai!$D$2:$D$500,"Papildomi (R+)"),0.15*(SUMIFS(Rezultatai!$J$2:$J$500,Rezultatai!$B$2:$B$500,$K54,Rezultatai!$A$2:$A$500,$C$2-1,Rezultatai!$D$2:$D$500,"&lt;&gt;Papildomi (R+)"))))*MIN(450,400+(1/70)*(SUMIFS(Parametrai!$B$2:$B$40,Parametrai!$A$2:$A$40,$C$2-1)-2500)))</f>
        <v>0</v>
      </c>
      <c r="O54" s="18">
        <f>IF($K54="","",(SUMIFS(Rezultatai!$J$2:$J$500,Rezultatai!$B$2:$B$500,$K54,Rezultatai!$A$2:$A$500,$C$2,Rezultatai!$D$2:$D$500,"&lt;&gt;Papildomi (R+)")+MIN(SUMIFS(Rezultatai!$J$2:$J$500,Rezultatai!$B$2:$B$500,$K54,Rezultatai!$A$2:$A$500,$C$2,Rezultatai!$D$2:$D$500,"Papildomi (R+)"),0.15*(SUMIFS(Rezultatai!$J$2:$J$500,Rezultatai!$B$2:$B$500,$K54,Rezultatai!$A$2:$A$500,$C$2,Rezultatai!$D$2:$D$500,"&lt;&gt;Papildomi (R+)"))))*MIN(550,450+(1/35)*(SUMIFS(Parametrai!$B$2:$B$40,Parametrai!$A$2:$A$40,$C$2)-2500)))</f>
        <v>0</v>
      </c>
      <c r="P54" s="18">
        <f t="shared" si="16"/>
        <v>0</v>
      </c>
      <c r="Q54" s="17">
        <f t="shared" si="17"/>
        <v>23</v>
      </c>
      <c r="R54" s="17">
        <f>IF($K54="","",IF($F$2="Pilotas",SUMPRODUCT(($K$6:$K$105&lt;&gt;"")*($K$6:$K$105&lt;$K54))+COUNTIF($K$6:$K54,$K54),IF($F$2="Klubas",SUMPRODUCT(($K$6:$K$105&lt;&gt;"")*($L$6:$L$105&lt;$L54))+SUMPRODUCT(($K$6:$K$105&lt;&gt;"")*($L$6:$L$105=$L54)*($Q$6:$Q$105&lt;$Q54))+COUNTIFS($L$6:$L54,$L54,$Q$6:$Q54,$Q54),IF($F$2="Nr",COUNTIF($K$6:$K54,"?*"),$Q54+COUNTIF($Q$6:$Q54,$Q54)-1))))</f>
        <v>49</v>
      </c>
    </row>
    <row r="55" spans="1:18" ht="15" customHeight="1" x14ac:dyDescent="0.3">
      <c r="A55" s="13">
        <f>IFERROR(MATCH(50,$R$6:$R$105,0),"")</f>
        <v>50</v>
      </c>
      <c r="B55" s="13" t="str">
        <f t="shared" si="9"/>
        <v>Andrius Masiulis</v>
      </c>
      <c r="C55" s="13" t="str">
        <f t="shared" si="10"/>
        <v>Vilniaus Aeroklubas</v>
      </c>
      <c r="D55" s="14">
        <f t="shared" si="11"/>
        <v>0</v>
      </c>
      <c r="E55" s="14">
        <f t="shared" si="12"/>
        <v>0</v>
      </c>
      <c r="F55" s="14">
        <f t="shared" si="13"/>
        <v>0</v>
      </c>
      <c r="G55" s="15">
        <f t="shared" si="14"/>
        <v>0</v>
      </c>
      <c r="H55" s="16">
        <f t="shared" si="15"/>
        <v>23</v>
      </c>
      <c r="K55" s="17" t="str">
        <f>IF(Pilotai!B51="","",Pilotai!B51)</f>
        <v>Andrius Masiulis</v>
      </c>
      <c r="L55" s="17" t="str">
        <f>IF($K55="","",Pilotai!C51)</f>
        <v>Vilniaus Aeroklubas</v>
      </c>
      <c r="M55" s="18">
        <f>IF($K55="","",(SUMIFS(Rezultatai!$J$2:$J$500,Rezultatai!$B$2:$B$500,$K55,Rezultatai!$A$2:$A$500,$C$2-2,Rezultatai!$D$2:$D$500,"&lt;&gt;Papildomi (R+)")+MIN(SUMIFS(Rezultatai!$J$2:$J$500,Rezultatai!$B$2:$B$500,$K55,Rezultatai!$A$2:$A$500,$C$2-2,Rezultatai!$D$2:$D$500,"Papildomi (R+)"),0.15*(SUMIFS(Rezultatai!$J$2:$J$500,Rezultatai!$B$2:$B$500,$K55,Rezultatai!$A$2:$A$500,$C$2-2,Rezultatai!$D$2:$D$500,"&lt;&gt;Papildomi (R+)"))))*MIN(425,375+(1/70)*(SUMIFS(Parametrai!$B$2:$B$40,Parametrai!$A$2:$A$40,$C$2-2)-2500)))</f>
        <v>0</v>
      </c>
      <c r="N55" s="18">
        <f>IF($K55="","",(SUMIFS(Rezultatai!$J$2:$J$500,Rezultatai!$B$2:$B$500,$K55,Rezultatai!$A$2:$A$500,$C$2-1,Rezultatai!$D$2:$D$500,"&lt;&gt;Papildomi (R+)")+MIN(SUMIFS(Rezultatai!$J$2:$J$500,Rezultatai!$B$2:$B$500,$K55,Rezultatai!$A$2:$A$500,$C$2-1,Rezultatai!$D$2:$D$500,"Papildomi (R+)"),0.15*(SUMIFS(Rezultatai!$J$2:$J$500,Rezultatai!$B$2:$B$500,$K55,Rezultatai!$A$2:$A$500,$C$2-1,Rezultatai!$D$2:$D$500,"&lt;&gt;Papildomi (R+)"))))*MIN(450,400+(1/70)*(SUMIFS(Parametrai!$B$2:$B$40,Parametrai!$A$2:$A$40,$C$2-1)-2500)))</f>
        <v>0</v>
      </c>
      <c r="O55" s="18">
        <f>IF($K55="","",(SUMIFS(Rezultatai!$J$2:$J$500,Rezultatai!$B$2:$B$500,$K55,Rezultatai!$A$2:$A$500,$C$2,Rezultatai!$D$2:$D$500,"&lt;&gt;Papildomi (R+)")+MIN(SUMIFS(Rezultatai!$J$2:$J$500,Rezultatai!$B$2:$B$500,$K55,Rezultatai!$A$2:$A$500,$C$2,Rezultatai!$D$2:$D$500,"Papildomi (R+)"),0.15*(SUMIFS(Rezultatai!$J$2:$J$500,Rezultatai!$B$2:$B$500,$K55,Rezultatai!$A$2:$A$500,$C$2,Rezultatai!$D$2:$D$500,"&lt;&gt;Papildomi (R+)"))))*MIN(550,450+(1/35)*(SUMIFS(Parametrai!$B$2:$B$40,Parametrai!$A$2:$A$40,$C$2)-2500)))</f>
        <v>0</v>
      </c>
      <c r="P55" s="18">
        <f t="shared" si="16"/>
        <v>0</v>
      </c>
      <c r="Q55" s="17">
        <f t="shared" si="17"/>
        <v>23</v>
      </c>
      <c r="R55" s="17">
        <f>IF($K55="","",IF($F$2="Pilotas",SUMPRODUCT(($K$6:$K$105&lt;&gt;"")*($K$6:$K$105&lt;$K55))+COUNTIF($K$6:$K55,$K55),IF($F$2="Klubas",SUMPRODUCT(($K$6:$K$105&lt;&gt;"")*($L$6:$L$105&lt;$L55))+SUMPRODUCT(($K$6:$K$105&lt;&gt;"")*($L$6:$L$105=$L55)*($Q$6:$Q$105&lt;$Q55))+COUNTIFS($L$6:$L55,$L55,$Q$6:$Q55,$Q55),IF($F$2="Nr",COUNTIF($K$6:$K55,"?*"),$Q55+COUNTIF($Q$6:$Q55,$Q55)-1))))</f>
        <v>50</v>
      </c>
    </row>
    <row r="56" spans="1:18" ht="15" customHeight="1" x14ac:dyDescent="0.3">
      <c r="A56" s="13">
        <f>IFERROR(MATCH(51,$R$6:$R$105,0),"")</f>
        <v>51</v>
      </c>
      <c r="B56" s="13" t="str">
        <f t="shared" si="9"/>
        <v>Artiom Maslov</v>
      </c>
      <c r="C56" s="13" t="str">
        <f t="shared" si="10"/>
        <v>Vilniaus Aeroklubas</v>
      </c>
      <c r="D56" s="14">
        <f t="shared" si="11"/>
        <v>0</v>
      </c>
      <c r="E56" s="14">
        <f t="shared" si="12"/>
        <v>0</v>
      </c>
      <c r="F56" s="14">
        <f t="shared" si="13"/>
        <v>0</v>
      </c>
      <c r="G56" s="15">
        <f t="shared" si="14"/>
        <v>0</v>
      </c>
      <c r="H56" s="16">
        <f t="shared" si="15"/>
        <v>23</v>
      </c>
      <c r="K56" s="17" t="str">
        <f>IF(Pilotai!B52="","",Pilotai!B52)</f>
        <v>Artiom Maslov</v>
      </c>
      <c r="L56" s="17" t="str">
        <f>IF($K56="","",Pilotai!C52)</f>
        <v>Vilniaus Aeroklubas</v>
      </c>
      <c r="M56" s="18">
        <f>IF($K56="","",(SUMIFS(Rezultatai!$J$2:$J$500,Rezultatai!$B$2:$B$500,$K56,Rezultatai!$A$2:$A$500,$C$2-2,Rezultatai!$D$2:$D$500,"&lt;&gt;Papildomi (R+)")+MIN(SUMIFS(Rezultatai!$J$2:$J$500,Rezultatai!$B$2:$B$500,$K56,Rezultatai!$A$2:$A$500,$C$2-2,Rezultatai!$D$2:$D$500,"Papildomi (R+)"),0.15*(SUMIFS(Rezultatai!$J$2:$J$500,Rezultatai!$B$2:$B$500,$K56,Rezultatai!$A$2:$A$500,$C$2-2,Rezultatai!$D$2:$D$500,"&lt;&gt;Papildomi (R+)"))))*MIN(425,375+(1/70)*(SUMIFS(Parametrai!$B$2:$B$40,Parametrai!$A$2:$A$40,$C$2-2)-2500)))</f>
        <v>0</v>
      </c>
      <c r="N56" s="18">
        <f>IF($K56="","",(SUMIFS(Rezultatai!$J$2:$J$500,Rezultatai!$B$2:$B$500,$K56,Rezultatai!$A$2:$A$500,$C$2-1,Rezultatai!$D$2:$D$500,"&lt;&gt;Papildomi (R+)")+MIN(SUMIFS(Rezultatai!$J$2:$J$500,Rezultatai!$B$2:$B$500,$K56,Rezultatai!$A$2:$A$500,$C$2-1,Rezultatai!$D$2:$D$500,"Papildomi (R+)"),0.15*(SUMIFS(Rezultatai!$J$2:$J$500,Rezultatai!$B$2:$B$500,$K56,Rezultatai!$A$2:$A$500,$C$2-1,Rezultatai!$D$2:$D$500,"&lt;&gt;Papildomi (R+)"))))*MIN(450,400+(1/70)*(SUMIFS(Parametrai!$B$2:$B$40,Parametrai!$A$2:$A$40,$C$2-1)-2500)))</f>
        <v>0</v>
      </c>
      <c r="O56" s="18">
        <f>IF($K56="","",(SUMIFS(Rezultatai!$J$2:$J$500,Rezultatai!$B$2:$B$500,$K56,Rezultatai!$A$2:$A$500,$C$2,Rezultatai!$D$2:$D$500,"&lt;&gt;Papildomi (R+)")+MIN(SUMIFS(Rezultatai!$J$2:$J$500,Rezultatai!$B$2:$B$500,$K56,Rezultatai!$A$2:$A$500,$C$2,Rezultatai!$D$2:$D$500,"Papildomi (R+)"),0.15*(SUMIFS(Rezultatai!$J$2:$J$500,Rezultatai!$B$2:$B$500,$K56,Rezultatai!$A$2:$A$500,$C$2,Rezultatai!$D$2:$D$500,"&lt;&gt;Papildomi (R+)"))))*MIN(550,450+(1/35)*(SUMIFS(Parametrai!$B$2:$B$40,Parametrai!$A$2:$A$40,$C$2)-2500)))</f>
        <v>0</v>
      </c>
      <c r="P56" s="18">
        <f t="shared" si="16"/>
        <v>0</v>
      </c>
      <c r="Q56" s="17">
        <f t="shared" si="17"/>
        <v>23</v>
      </c>
      <c r="R56" s="17">
        <f>IF($K56="","",IF($F$2="Pilotas",SUMPRODUCT(($K$6:$K$105&lt;&gt;"")*($K$6:$K$105&lt;$K56))+COUNTIF($K$6:$K56,$K56),IF($F$2="Klubas",SUMPRODUCT(($K$6:$K$105&lt;&gt;"")*($L$6:$L$105&lt;$L56))+SUMPRODUCT(($K$6:$K$105&lt;&gt;"")*($L$6:$L$105=$L56)*($Q$6:$Q$105&lt;$Q56))+COUNTIFS($L$6:$L56,$L56,$Q$6:$Q56,$Q56),IF($F$2="Nr",COUNTIF($K$6:$K56,"?*"),$Q56+COUNTIF($Q$6:$Q56,$Q56)-1))))</f>
        <v>51</v>
      </c>
    </row>
    <row r="57" spans="1:18" ht="15" customHeight="1" x14ac:dyDescent="0.3">
      <c r="A57" s="13">
        <f>IFERROR(MATCH(52,$R$6:$R$105,0),"")</f>
        <v>52</v>
      </c>
      <c r="B57" s="13" t="str">
        <f t="shared" si="9"/>
        <v>Audrius Artiškevicius</v>
      </c>
      <c r="C57" s="13" t="str">
        <f t="shared" si="10"/>
        <v>Kauno AASK</v>
      </c>
      <c r="D57" s="14">
        <f t="shared" si="11"/>
        <v>0</v>
      </c>
      <c r="E57" s="14">
        <f t="shared" si="12"/>
        <v>0</v>
      </c>
      <c r="F57" s="14">
        <f t="shared" si="13"/>
        <v>0</v>
      </c>
      <c r="G57" s="15">
        <f t="shared" si="14"/>
        <v>0</v>
      </c>
      <c r="H57" s="16">
        <f t="shared" si="15"/>
        <v>23</v>
      </c>
      <c r="K57" s="17" t="str">
        <f>IF(Pilotai!B53="","",Pilotai!B53)</f>
        <v>Audrius Artiškevicius</v>
      </c>
      <c r="L57" s="17" t="str">
        <f>IF($K57="","",Pilotai!C53)</f>
        <v>Kauno AASK</v>
      </c>
      <c r="M57" s="18">
        <f>IF($K57="","",(SUMIFS(Rezultatai!$J$2:$J$500,Rezultatai!$B$2:$B$500,$K57,Rezultatai!$A$2:$A$500,$C$2-2,Rezultatai!$D$2:$D$500,"&lt;&gt;Papildomi (R+)")+MIN(SUMIFS(Rezultatai!$J$2:$J$500,Rezultatai!$B$2:$B$500,$K57,Rezultatai!$A$2:$A$500,$C$2-2,Rezultatai!$D$2:$D$500,"Papildomi (R+)"),0.15*(SUMIFS(Rezultatai!$J$2:$J$500,Rezultatai!$B$2:$B$500,$K57,Rezultatai!$A$2:$A$500,$C$2-2,Rezultatai!$D$2:$D$500,"&lt;&gt;Papildomi (R+)"))))*MIN(425,375+(1/70)*(SUMIFS(Parametrai!$B$2:$B$40,Parametrai!$A$2:$A$40,$C$2-2)-2500)))</f>
        <v>0</v>
      </c>
      <c r="N57" s="18">
        <f>IF($K57="","",(SUMIFS(Rezultatai!$J$2:$J$500,Rezultatai!$B$2:$B$500,$K57,Rezultatai!$A$2:$A$500,$C$2-1,Rezultatai!$D$2:$D$500,"&lt;&gt;Papildomi (R+)")+MIN(SUMIFS(Rezultatai!$J$2:$J$500,Rezultatai!$B$2:$B$500,$K57,Rezultatai!$A$2:$A$500,$C$2-1,Rezultatai!$D$2:$D$500,"Papildomi (R+)"),0.15*(SUMIFS(Rezultatai!$J$2:$J$500,Rezultatai!$B$2:$B$500,$K57,Rezultatai!$A$2:$A$500,$C$2-1,Rezultatai!$D$2:$D$500,"&lt;&gt;Papildomi (R+)"))))*MIN(450,400+(1/70)*(SUMIFS(Parametrai!$B$2:$B$40,Parametrai!$A$2:$A$40,$C$2-1)-2500)))</f>
        <v>0</v>
      </c>
      <c r="O57" s="18">
        <f>IF($K57="","",(SUMIFS(Rezultatai!$J$2:$J$500,Rezultatai!$B$2:$B$500,$K57,Rezultatai!$A$2:$A$500,$C$2,Rezultatai!$D$2:$D$500,"&lt;&gt;Papildomi (R+)")+MIN(SUMIFS(Rezultatai!$J$2:$J$500,Rezultatai!$B$2:$B$500,$K57,Rezultatai!$A$2:$A$500,$C$2,Rezultatai!$D$2:$D$500,"Papildomi (R+)"),0.15*(SUMIFS(Rezultatai!$J$2:$J$500,Rezultatai!$B$2:$B$500,$K57,Rezultatai!$A$2:$A$500,$C$2,Rezultatai!$D$2:$D$500,"&lt;&gt;Papildomi (R+)"))))*MIN(550,450+(1/35)*(SUMIFS(Parametrai!$B$2:$B$40,Parametrai!$A$2:$A$40,$C$2)-2500)))</f>
        <v>0</v>
      </c>
      <c r="P57" s="18">
        <f t="shared" si="16"/>
        <v>0</v>
      </c>
      <c r="Q57" s="17">
        <f t="shared" si="17"/>
        <v>23</v>
      </c>
      <c r="R57" s="17">
        <f>IF($K57="","",IF($F$2="Pilotas",SUMPRODUCT(($K$6:$K$105&lt;&gt;"")*($K$6:$K$105&lt;$K57))+COUNTIF($K$6:$K57,$K57),IF($F$2="Klubas",SUMPRODUCT(($K$6:$K$105&lt;&gt;"")*($L$6:$L$105&lt;$L57))+SUMPRODUCT(($K$6:$K$105&lt;&gt;"")*($L$6:$L$105=$L57)*($Q$6:$Q$105&lt;$Q57))+COUNTIFS($L$6:$L57,$L57,$Q$6:$Q57,$Q57),IF($F$2="Nr",COUNTIF($K$6:$K57,"?*"),$Q57+COUNTIF($Q$6:$Q57,$Q57)-1))))</f>
        <v>52</v>
      </c>
    </row>
    <row r="58" spans="1:18" ht="15" customHeight="1" x14ac:dyDescent="0.3">
      <c r="A58" s="13">
        <f>IFERROR(MATCH(53,$R$6:$R$105,0),"")</f>
        <v>53</v>
      </c>
      <c r="B58" s="13" t="str">
        <f t="shared" si="9"/>
        <v>Benvenutas Ivanauskas</v>
      </c>
      <c r="C58" s="13" t="str">
        <f t="shared" si="10"/>
        <v>Kauno AASK</v>
      </c>
      <c r="D58" s="14">
        <f t="shared" si="11"/>
        <v>0</v>
      </c>
      <c r="E58" s="14">
        <f t="shared" si="12"/>
        <v>0</v>
      </c>
      <c r="F58" s="14">
        <f t="shared" si="13"/>
        <v>0</v>
      </c>
      <c r="G58" s="15">
        <f t="shared" si="14"/>
        <v>0</v>
      </c>
      <c r="H58" s="16">
        <f t="shared" si="15"/>
        <v>23</v>
      </c>
      <c r="K58" s="17" t="str">
        <f>IF(Pilotai!B54="","",Pilotai!B54)</f>
        <v>Benvenutas Ivanauskas</v>
      </c>
      <c r="L58" s="17" t="str">
        <f>IF($K58="","",Pilotai!C54)</f>
        <v>Kauno AASK</v>
      </c>
      <c r="M58" s="18">
        <f>IF($K58="","",(SUMIFS(Rezultatai!$J$2:$J$500,Rezultatai!$B$2:$B$500,$K58,Rezultatai!$A$2:$A$500,$C$2-2,Rezultatai!$D$2:$D$500,"&lt;&gt;Papildomi (R+)")+MIN(SUMIFS(Rezultatai!$J$2:$J$500,Rezultatai!$B$2:$B$500,$K58,Rezultatai!$A$2:$A$500,$C$2-2,Rezultatai!$D$2:$D$500,"Papildomi (R+)"),0.15*(SUMIFS(Rezultatai!$J$2:$J$500,Rezultatai!$B$2:$B$500,$K58,Rezultatai!$A$2:$A$500,$C$2-2,Rezultatai!$D$2:$D$500,"&lt;&gt;Papildomi (R+)"))))*MIN(425,375+(1/70)*(SUMIFS(Parametrai!$B$2:$B$40,Parametrai!$A$2:$A$40,$C$2-2)-2500)))</f>
        <v>0</v>
      </c>
      <c r="N58" s="18">
        <f>IF($K58="","",(SUMIFS(Rezultatai!$J$2:$J$500,Rezultatai!$B$2:$B$500,$K58,Rezultatai!$A$2:$A$500,$C$2-1,Rezultatai!$D$2:$D$500,"&lt;&gt;Papildomi (R+)")+MIN(SUMIFS(Rezultatai!$J$2:$J$500,Rezultatai!$B$2:$B$500,$K58,Rezultatai!$A$2:$A$500,$C$2-1,Rezultatai!$D$2:$D$500,"Papildomi (R+)"),0.15*(SUMIFS(Rezultatai!$J$2:$J$500,Rezultatai!$B$2:$B$500,$K58,Rezultatai!$A$2:$A$500,$C$2-1,Rezultatai!$D$2:$D$500,"&lt;&gt;Papildomi (R+)"))))*MIN(450,400+(1/70)*(SUMIFS(Parametrai!$B$2:$B$40,Parametrai!$A$2:$A$40,$C$2-1)-2500)))</f>
        <v>0</v>
      </c>
      <c r="O58" s="18">
        <f>IF($K58="","",(SUMIFS(Rezultatai!$J$2:$J$500,Rezultatai!$B$2:$B$500,$K58,Rezultatai!$A$2:$A$500,$C$2,Rezultatai!$D$2:$D$500,"&lt;&gt;Papildomi (R+)")+MIN(SUMIFS(Rezultatai!$J$2:$J$500,Rezultatai!$B$2:$B$500,$K58,Rezultatai!$A$2:$A$500,$C$2,Rezultatai!$D$2:$D$500,"Papildomi (R+)"),0.15*(SUMIFS(Rezultatai!$J$2:$J$500,Rezultatai!$B$2:$B$500,$K58,Rezultatai!$A$2:$A$500,$C$2,Rezultatai!$D$2:$D$500,"&lt;&gt;Papildomi (R+)"))))*MIN(550,450+(1/35)*(SUMIFS(Parametrai!$B$2:$B$40,Parametrai!$A$2:$A$40,$C$2)-2500)))</f>
        <v>0</v>
      </c>
      <c r="P58" s="18">
        <f t="shared" si="16"/>
        <v>0</v>
      </c>
      <c r="Q58" s="17">
        <f t="shared" si="17"/>
        <v>23</v>
      </c>
      <c r="R58" s="17">
        <f>IF($K58="","",IF($F$2="Pilotas",SUMPRODUCT(($K$6:$K$105&lt;&gt;"")*($K$6:$K$105&lt;$K58))+COUNTIF($K$6:$K58,$K58),IF($F$2="Klubas",SUMPRODUCT(($K$6:$K$105&lt;&gt;"")*($L$6:$L$105&lt;$L58))+SUMPRODUCT(($K$6:$K$105&lt;&gt;"")*($L$6:$L$105=$L58)*($Q$6:$Q$105&lt;$Q58))+COUNTIFS($L$6:$L58,$L58,$Q$6:$Q58,$Q58),IF($F$2="Nr",COUNTIF($K$6:$K58,"?*"),$Q58+COUNTIF($Q$6:$Q58,$Q58)-1))))</f>
        <v>53</v>
      </c>
    </row>
    <row r="59" spans="1:18" ht="15" customHeight="1" x14ac:dyDescent="0.3">
      <c r="A59" s="13">
        <f>IFERROR(MATCH(54,$R$6:$R$105,0),"")</f>
        <v>54</v>
      </c>
      <c r="B59" s="13" t="str">
        <f t="shared" si="9"/>
        <v>Darius Šarkiunas</v>
      </c>
      <c r="C59" s="13" t="str">
        <f t="shared" si="10"/>
        <v>Kauno AASK</v>
      </c>
      <c r="D59" s="14">
        <f t="shared" si="11"/>
        <v>0</v>
      </c>
      <c r="E59" s="14">
        <f t="shared" si="12"/>
        <v>0</v>
      </c>
      <c r="F59" s="14">
        <f t="shared" si="13"/>
        <v>0</v>
      </c>
      <c r="G59" s="15">
        <f t="shared" si="14"/>
        <v>0</v>
      </c>
      <c r="H59" s="16">
        <f t="shared" si="15"/>
        <v>23</v>
      </c>
      <c r="K59" s="17" t="str">
        <f>IF(Pilotai!B55="","",Pilotai!B55)</f>
        <v>Darius Šarkiunas</v>
      </c>
      <c r="L59" s="17" t="str">
        <f>IF($K59="","",Pilotai!C55)</f>
        <v>Kauno AASK</v>
      </c>
      <c r="M59" s="18">
        <f>IF($K59="","",(SUMIFS(Rezultatai!$J$2:$J$500,Rezultatai!$B$2:$B$500,$K59,Rezultatai!$A$2:$A$500,$C$2-2,Rezultatai!$D$2:$D$500,"&lt;&gt;Papildomi (R+)")+MIN(SUMIFS(Rezultatai!$J$2:$J$500,Rezultatai!$B$2:$B$500,$K59,Rezultatai!$A$2:$A$500,$C$2-2,Rezultatai!$D$2:$D$500,"Papildomi (R+)"),0.15*(SUMIFS(Rezultatai!$J$2:$J$500,Rezultatai!$B$2:$B$500,$K59,Rezultatai!$A$2:$A$500,$C$2-2,Rezultatai!$D$2:$D$500,"&lt;&gt;Papildomi (R+)"))))*MIN(425,375+(1/70)*(SUMIFS(Parametrai!$B$2:$B$40,Parametrai!$A$2:$A$40,$C$2-2)-2500)))</f>
        <v>0</v>
      </c>
      <c r="N59" s="18">
        <f>IF($K59="","",(SUMIFS(Rezultatai!$J$2:$J$500,Rezultatai!$B$2:$B$500,$K59,Rezultatai!$A$2:$A$500,$C$2-1,Rezultatai!$D$2:$D$500,"&lt;&gt;Papildomi (R+)")+MIN(SUMIFS(Rezultatai!$J$2:$J$500,Rezultatai!$B$2:$B$500,$K59,Rezultatai!$A$2:$A$500,$C$2-1,Rezultatai!$D$2:$D$500,"Papildomi (R+)"),0.15*(SUMIFS(Rezultatai!$J$2:$J$500,Rezultatai!$B$2:$B$500,$K59,Rezultatai!$A$2:$A$500,$C$2-1,Rezultatai!$D$2:$D$500,"&lt;&gt;Papildomi (R+)"))))*MIN(450,400+(1/70)*(SUMIFS(Parametrai!$B$2:$B$40,Parametrai!$A$2:$A$40,$C$2-1)-2500)))</f>
        <v>0</v>
      </c>
      <c r="O59" s="18">
        <f>IF($K59="","",(SUMIFS(Rezultatai!$J$2:$J$500,Rezultatai!$B$2:$B$500,$K59,Rezultatai!$A$2:$A$500,$C$2,Rezultatai!$D$2:$D$500,"&lt;&gt;Papildomi (R+)")+MIN(SUMIFS(Rezultatai!$J$2:$J$500,Rezultatai!$B$2:$B$500,$K59,Rezultatai!$A$2:$A$500,$C$2,Rezultatai!$D$2:$D$500,"Papildomi (R+)"),0.15*(SUMIFS(Rezultatai!$J$2:$J$500,Rezultatai!$B$2:$B$500,$K59,Rezultatai!$A$2:$A$500,$C$2,Rezultatai!$D$2:$D$500,"&lt;&gt;Papildomi (R+)"))))*MIN(550,450+(1/35)*(SUMIFS(Parametrai!$B$2:$B$40,Parametrai!$A$2:$A$40,$C$2)-2500)))</f>
        <v>0</v>
      </c>
      <c r="P59" s="18">
        <f t="shared" si="16"/>
        <v>0</v>
      </c>
      <c r="Q59" s="17">
        <f t="shared" si="17"/>
        <v>23</v>
      </c>
      <c r="R59" s="17">
        <f>IF($K59="","",IF($F$2="Pilotas",SUMPRODUCT(($K$6:$K$105&lt;&gt;"")*($K$6:$K$105&lt;$K59))+COUNTIF($K$6:$K59,$K59),IF($F$2="Klubas",SUMPRODUCT(($K$6:$K$105&lt;&gt;"")*($L$6:$L$105&lt;$L59))+SUMPRODUCT(($K$6:$K$105&lt;&gt;"")*($L$6:$L$105=$L59)*($Q$6:$Q$105&lt;$Q59))+COUNTIFS($L$6:$L59,$L59,$Q$6:$Q59,$Q59),IF($F$2="Nr",COUNTIF($K$6:$K59,"?*"),$Q59+COUNTIF($Q$6:$Q59,$Q59)-1))))</f>
        <v>54</v>
      </c>
    </row>
    <row r="60" spans="1:18" ht="15" customHeight="1" x14ac:dyDescent="0.3">
      <c r="A60" s="13">
        <f>IFERROR(MATCH(55,$R$6:$R$105,0),"")</f>
        <v>55</v>
      </c>
      <c r="B60" s="13" t="str">
        <f t="shared" si="9"/>
        <v>Domas Juknevičius</v>
      </c>
      <c r="C60" s="13" t="str">
        <f t="shared" si="10"/>
        <v>Kauno AASK</v>
      </c>
      <c r="D60" s="14">
        <f t="shared" si="11"/>
        <v>0</v>
      </c>
      <c r="E60" s="14">
        <f t="shared" si="12"/>
        <v>0</v>
      </c>
      <c r="F60" s="14">
        <f t="shared" si="13"/>
        <v>0</v>
      </c>
      <c r="G60" s="15">
        <f t="shared" si="14"/>
        <v>0</v>
      </c>
      <c r="H60" s="16">
        <f t="shared" si="15"/>
        <v>23</v>
      </c>
      <c r="K60" s="17" t="str">
        <f>IF(Pilotai!B56="","",Pilotai!B56)</f>
        <v>Domas Juknevičius</v>
      </c>
      <c r="L60" s="17" t="str">
        <f>IF($K60="","",Pilotai!C56)</f>
        <v>Kauno AASK</v>
      </c>
      <c r="M60" s="18">
        <f>IF($K60="","",(SUMIFS(Rezultatai!$J$2:$J$500,Rezultatai!$B$2:$B$500,$K60,Rezultatai!$A$2:$A$500,$C$2-2,Rezultatai!$D$2:$D$500,"&lt;&gt;Papildomi (R+)")+MIN(SUMIFS(Rezultatai!$J$2:$J$500,Rezultatai!$B$2:$B$500,$K60,Rezultatai!$A$2:$A$500,$C$2-2,Rezultatai!$D$2:$D$500,"Papildomi (R+)"),0.15*(SUMIFS(Rezultatai!$J$2:$J$500,Rezultatai!$B$2:$B$500,$K60,Rezultatai!$A$2:$A$500,$C$2-2,Rezultatai!$D$2:$D$500,"&lt;&gt;Papildomi (R+)"))))*MIN(425,375+(1/70)*(SUMIFS(Parametrai!$B$2:$B$40,Parametrai!$A$2:$A$40,$C$2-2)-2500)))</f>
        <v>0</v>
      </c>
      <c r="N60" s="18">
        <f>IF($K60="","",(SUMIFS(Rezultatai!$J$2:$J$500,Rezultatai!$B$2:$B$500,$K60,Rezultatai!$A$2:$A$500,$C$2-1,Rezultatai!$D$2:$D$500,"&lt;&gt;Papildomi (R+)")+MIN(SUMIFS(Rezultatai!$J$2:$J$500,Rezultatai!$B$2:$B$500,$K60,Rezultatai!$A$2:$A$500,$C$2-1,Rezultatai!$D$2:$D$500,"Papildomi (R+)"),0.15*(SUMIFS(Rezultatai!$J$2:$J$500,Rezultatai!$B$2:$B$500,$K60,Rezultatai!$A$2:$A$500,$C$2-1,Rezultatai!$D$2:$D$500,"&lt;&gt;Papildomi (R+)"))))*MIN(450,400+(1/70)*(SUMIFS(Parametrai!$B$2:$B$40,Parametrai!$A$2:$A$40,$C$2-1)-2500)))</f>
        <v>0</v>
      </c>
      <c r="O60" s="18">
        <f>IF($K60="","",(SUMIFS(Rezultatai!$J$2:$J$500,Rezultatai!$B$2:$B$500,$K60,Rezultatai!$A$2:$A$500,$C$2,Rezultatai!$D$2:$D$500,"&lt;&gt;Papildomi (R+)")+MIN(SUMIFS(Rezultatai!$J$2:$J$500,Rezultatai!$B$2:$B$500,$K60,Rezultatai!$A$2:$A$500,$C$2,Rezultatai!$D$2:$D$500,"Papildomi (R+)"),0.15*(SUMIFS(Rezultatai!$J$2:$J$500,Rezultatai!$B$2:$B$500,$K60,Rezultatai!$A$2:$A$500,$C$2,Rezultatai!$D$2:$D$500,"&lt;&gt;Papildomi (R+)"))))*MIN(550,450+(1/35)*(SUMIFS(Parametrai!$B$2:$B$40,Parametrai!$A$2:$A$40,$C$2)-2500)))</f>
        <v>0</v>
      </c>
      <c r="P60" s="18">
        <f t="shared" si="16"/>
        <v>0</v>
      </c>
      <c r="Q60" s="17">
        <f t="shared" si="17"/>
        <v>23</v>
      </c>
      <c r="R60" s="17">
        <f>IF($K60="","",IF($F$2="Pilotas",SUMPRODUCT(($K$6:$K$105&lt;&gt;"")*($K$6:$K$105&lt;$K60))+COUNTIF($K$6:$K60,$K60),IF($F$2="Klubas",SUMPRODUCT(($K$6:$K$105&lt;&gt;"")*($L$6:$L$105&lt;$L60))+SUMPRODUCT(($K$6:$K$105&lt;&gt;"")*($L$6:$L$105=$L60)*($Q$6:$Q$105&lt;$Q60))+COUNTIFS($L$6:$L60,$L60,$Q$6:$Q60,$Q60),IF($F$2="Nr",COUNTIF($K$6:$K60,"?*"),$Q60+COUNTIF($Q$6:$Q60,$Q60)-1))))</f>
        <v>55</v>
      </c>
    </row>
    <row r="61" spans="1:18" ht="15" customHeight="1" x14ac:dyDescent="0.3">
      <c r="A61" s="13">
        <f>IFERROR(MATCH(56,$R$6:$R$105,0),"")</f>
        <v>56</v>
      </c>
      <c r="B61" s="13" t="str">
        <f t="shared" si="9"/>
        <v>Donatas Vaičiulis</v>
      </c>
      <c r="C61" s="13" t="str">
        <f t="shared" si="10"/>
        <v>Pamario Sklandytojų Klubas</v>
      </c>
      <c r="D61" s="14">
        <f t="shared" si="11"/>
        <v>0</v>
      </c>
      <c r="E61" s="14">
        <f t="shared" si="12"/>
        <v>0</v>
      </c>
      <c r="F61" s="14">
        <f t="shared" si="13"/>
        <v>0</v>
      </c>
      <c r="G61" s="15">
        <f t="shared" si="14"/>
        <v>0</v>
      </c>
      <c r="H61" s="16">
        <f t="shared" si="15"/>
        <v>23</v>
      </c>
      <c r="K61" s="17" t="str">
        <f>IF(Pilotai!B57="","",Pilotai!B57)</f>
        <v>Donatas Vaičiulis</v>
      </c>
      <c r="L61" s="17" t="str">
        <f>IF($K61="","",Pilotai!C57)</f>
        <v>Pamario Sklandytojų Klubas</v>
      </c>
      <c r="M61" s="18">
        <f>IF($K61="","",(SUMIFS(Rezultatai!$J$2:$J$500,Rezultatai!$B$2:$B$500,$K61,Rezultatai!$A$2:$A$500,$C$2-2,Rezultatai!$D$2:$D$500,"&lt;&gt;Papildomi (R+)")+MIN(SUMIFS(Rezultatai!$J$2:$J$500,Rezultatai!$B$2:$B$500,$K61,Rezultatai!$A$2:$A$500,$C$2-2,Rezultatai!$D$2:$D$500,"Papildomi (R+)"),0.15*(SUMIFS(Rezultatai!$J$2:$J$500,Rezultatai!$B$2:$B$500,$K61,Rezultatai!$A$2:$A$500,$C$2-2,Rezultatai!$D$2:$D$500,"&lt;&gt;Papildomi (R+)"))))*MIN(425,375+(1/70)*(SUMIFS(Parametrai!$B$2:$B$40,Parametrai!$A$2:$A$40,$C$2-2)-2500)))</f>
        <v>0</v>
      </c>
      <c r="N61" s="18">
        <f>IF($K61="","",(SUMIFS(Rezultatai!$J$2:$J$500,Rezultatai!$B$2:$B$500,$K61,Rezultatai!$A$2:$A$500,$C$2-1,Rezultatai!$D$2:$D$500,"&lt;&gt;Papildomi (R+)")+MIN(SUMIFS(Rezultatai!$J$2:$J$500,Rezultatai!$B$2:$B$500,$K61,Rezultatai!$A$2:$A$500,$C$2-1,Rezultatai!$D$2:$D$500,"Papildomi (R+)"),0.15*(SUMIFS(Rezultatai!$J$2:$J$500,Rezultatai!$B$2:$B$500,$K61,Rezultatai!$A$2:$A$500,$C$2-1,Rezultatai!$D$2:$D$500,"&lt;&gt;Papildomi (R+)"))))*MIN(450,400+(1/70)*(SUMIFS(Parametrai!$B$2:$B$40,Parametrai!$A$2:$A$40,$C$2-1)-2500)))</f>
        <v>0</v>
      </c>
      <c r="O61" s="18">
        <f>IF($K61="","",(SUMIFS(Rezultatai!$J$2:$J$500,Rezultatai!$B$2:$B$500,$K61,Rezultatai!$A$2:$A$500,$C$2,Rezultatai!$D$2:$D$500,"&lt;&gt;Papildomi (R+)")+MIN(SUMIFS(Rezultatai!$J$2:$J$500,Rezultatai!$B$2:$B$500,$K61,Rezultatai!$A$2:$A$500,$C$2,Rezultatai!$D$2:$D$500,"Papildomi (R+)"),0.15*(SUMIFS(Rezultatai!$J$2:$J$500,Rezultatai!$B$2:$B$500,$K61,Rezultatai!$A$2:$A$500,$C$2,Rezultatai!$D$2:$D$500,"&lt;&gt;Papildomi (R+)"))))*MIN(550,450+(1/35)*(SUMIFS(Parametrai!$B$2:$B$40,Parametrai!$A$2:$A$40,$C$2)-2500)))</f>
        <v>0</v>
      </c>
      <c r="P61" s="18">
        <f t="shared" si="16"/>
        <v>0</v>
      </c>
      <c r="Q61" s="17">
        <f t="shared" si="17"/>
        <v>23</v>
      </c>
      <c r="R61" s="17">
        <f>IF($K61="","",IF($F$2="Pilotas",SUMPRODUCT(($K$6:$K$105&lt;&gt;"")*($K$6:$K$105&lt;$K61))+COUNTIF($K$6:$K61,$K61),IF($F$2="Klubas",SUMPRODUCT(($K$6:$K$105&lt;&gt;"")*($L$6:$L$105&lt;$L61))+SUMPRODUCT(($K$6:$K$105&lt;&gt;"")*($L$6:$L$105=$L61)*($Q$6:$Q$105&lt;$Q61))+COUNTIFS($L$6:$L61,$L61,$Q$6:$Q61,$Q61),IF($F$2="Nr",COUNTIF($K$6:$K61,"?*"),$Q61+COUNTIF($Q$6:$Q61,$Q61)-1))))</f>
        <v>56</v>
      </c>
    </row>
    <row r="62" spans="1:18" ht="15" customHeight="1" x14ac:dyDescent="0.3">
      <c r="A62" s="13">
        <f>IFERROR(MATCH(57,$R$6:$R$105,0),"")</f>
        <v>57</v>
      </c>
      <c r="B62" s="13" t="str">
        <f t="shared" si="9"/>
        <v>Jurgis Kazlauskas</v>
      </c>
      <c r="C62" s="13" t="str">
        <f t="shared" si="10"/>
        <v>Vilniaus Aeroklubas</v>
      </c>
      <c r="D62" s="14">
        <f t="shared" si="11"/>
        <v>0</v>
      </c>
      <c r="E62" s="14">
        <f t="shared" si="12"/>
        <v>0</v>
      </c>
      <c r="F62" s="14">
        <f t="shared" si="13"/>
        <v>0</v>
      </c>
      <c r="G62" s="15">
        <f t="shared" si="14"/>
        <v>0</v>
      </c>
      <c r="H62" s="16">
        <f t="shared" si="15"/>
        <v>23</v>
      </c>
      <c r="K62" s="17" t="str">
        <f>IF(Pilotai!B58="","",Pilotai!B58)</f>
        <v>Jurgis Kazlauskas</v>
      </c>
      <c r="L62" s="17" t="str">
        <f>IF($K62="","",Pilotai!C58)</f>
        <v>Vilniaus Aeroklubas</v>
      </c>
      <c r="M62" s="18">
        <f>IF($K62="","",(SUMIFS(Rezultatai!$J$2:$J$500,Rezultatai!$B$2:$B$500,$K62,Rezultatai!$A$2:$A$500,$C$2-2,Rezultatai!$D$2:$D$500,"&lt;&gt;Papildomi (R+)")+MIN(SUMIFS(Rezultatai!$J$2:$J$500,Rezultatai!$B$2:$B$500,$K62,Rezultatai!$A$2:$A$500,$C$2-2,Rezultatai!$D$2:$D$500,"Papildomi (R+)"),0.15*(SUMIFS(Rezultatai!$J$2:$J$500,Rezultatai!$B$2:$B$500,$K62,Rezultatai!$A$2:$A$500,$C$2-2,Rezultatai!$D$2:$D$500,"&lt;&gt;Papildomi (R+)"))))*MIN(425,375+(1/70)*(SUMIFS(Parametrai!$B$2:$B$40,Parametrai!$A$2:$A$40,$C$2-2)-2500)))</f>
        <v>0</v>
      </c>
      <c r="N62" s="18">
        <f>IF($K62="","",(SUMIFS(Rezultatai!$J$2:$J$500,Rezultatai!$B$2:$B$500,$K62,Rezultatai!$A$2:$A$500,$C$2-1,Rezultatai!$D$2:$D$500,"&lt;&gt;Papildomi (R+)")+MIN(SUMIFS(Rezultatai!$J$2:$J$500,Rezultatai!$B$2:$B$500,$K62,Rezultatai!$A$2:$A$500,$C$2-1,Rezultatai!$D$2:$D$500,"Papildomi (R+)"),0.15*(SUMIFS(Rezultatai!$J$2:$J$500,Rezultatai!$B$2:$B$500,$K62,Rezultatai!$A$2:$A$500,$C$2-1,Rezultatai!$D$2:$D$500,"&lt;&gt;Papildomi (R+)"))))*MIN(450,400+(1/70)*(SUMIFS(Parametrai!$B$2:$B$40,Parametrai!$A$2:$A$40,$C$2-1)-2500)))</f>
        <v>0</v>
      </c>
      <c r="O62" s="18">
        <f>IF($K62="","",(SUMIFS(Rezultatai!$J$2:$J$500,Rezultatai!$B$2:$B$500,$K62,Rezultatai!$A$2:$A$500,$C$2,Rezultatai!$D$2:$D$500,"&lt;&gt;Papildomi (R+)")+MIN(SUMIFS(Rezultatai!$J$2:$J$500,Rezultatai!$B$2:$B$500,$K62,Rezultatai!$A$2:$A$500,$C$2,Rezultatai!$D$2:$D$500,"Papildomi (R+)"),0.15*(SUMIFS(Rezultatai!$J$2:$J$500,Rezultatai!$B$2:$B$500,$K62,Rezultatai!$A$2:$A$500,$C$2,Rezultatai!$D$2:$D$500,"&lt;&gt;Papildomi (R+)"))))*MIN(550,450+(1/35)*(SUMIFS(Parametrai!$B$2:$B$40,Parametrai!$A$2:$A$40,$C$2)-2500)))</f>
        <v>0</v>
      </c>
      <c r="P62" s="18">
        <f t="shared" si="16"/>
        <v>0</v>
      </c>
      <c r="Q62" s="17">
        <f t="shared" si="17"/>
        <v>23</v>
      </c>
      <c r="R62" s="17">
        <f>IF($K62="","",IF($F$2="Pilotas",SUMPRODUCT(($K$6:$K$105&lt;&gt;"")*($K$6:$K$105&lt;$K62))+COUNTIF($K$6:$K62,$K62),IF($F$2="Klubas",SUMPRODUCT(($K$6:$K$105&lt;&gt;"")*($L$6:$L$105&lt;$L62))+SUMPRODUCT(($K$6:$K$105&lt;&gt;"")*($L$6:$L$105=$L62)*($Q$6:$Q$105&lt;$Q62))+COUNTIFS($L$6:$L62,$L62,$Q$6:$Q62,$Q62),IF($F$2="Nr",COUNTIF($K$6:$K62,"?*"),$Q62+COUNTIF($Q$6:$Q62,$Q62)-1))))</f>
        <v>57</v>
      </c>
    </row>
    <row r="63" spans="1:18" ht="15" customHeight="1" x14ac:dyDescent="0.3">
      <c r="A63" s="13">
        <f>IFERROR(MATCH(58,$R$6:$R$105,0),"")</f>
        <v>58</v>
      </c>
      <c r="B63" s="13" t="str">
        <f t="shared" si="9"/>
        <v>Linas Zubė</v>
      </c>
      <c r="C63" s="13" t="str">
        <f t="shared" si="10"/>
        <v>Pamario Sklandytojų Klubas</v>
      </c>
      <c r="D63" s="14">
        <f t="shared" si="11"/>
        <v>0</v>
      </c>
      <c r="E63" s="14">
        <f t="shared" si="12"/>
        <v>0</v>
      </c>
      <c r="F63" s="14">
        <f t="shared" si="13"/>
        <v>0</v>
      </c>
      <c r="G63" s="15">
        <f t="shared" si="14"/>
        <v>0</v>
      </c>
      <c r="H63" s="16">
        <f t="shared" si="15"/>
        <v>23</v>
      </c>
      <c r="K63" s="17" t="str">
        <f>IF(Pilotai!B59="","",Pilotai!B59)</f>
        <v>Linas Zubė</v>
      </c>
      <c r="L63" s="17" t="str">
        <f>IF($K63="","",Pilotai!C59)</f>
        <v>Pamario Sklandytojų Klubas</v>
      </c>
      <c r="M63" s="18">
        <f>IF($K63="","",(SUMIFS(Rezultatai!$J$2:$J$500,Rezultatai!$B$2:$B$500,$K63,Rezultatai!$A$2:$A$500,$C$2-2,Rezultatai!$D$2:$D$500,"&lt;&gt;Papildomi (R+)")+MIN(SUMIFS(Rezultatai!$J$2:$J$500,Rezultatai!$B$2:$B$500,$K63,Rezultatai!$A$2:$A$500,$C$2-2,Rezultatai!$D$2:$D$500,"Papildomi (R+)"),0.15*(SUMIFS(Rezultatai!$J$2:$J$500,Rezultatai!$B$2:$B$500,$K63,Rezultatai!$A$2:$A$500,$C$2-2,Rezultatai!$D$2:$D$500,"&lt;&gt;Papildomi (R+)"))))*MIN(425,375+(1/70)*(SUMIFS(Parametrai!$B$2:$B$40,Parametrai!$A$2:$A$40,$C$2-2)-2500)))</f>
        <v>0</v>
      </c>
      <c r="N63" s="18">
        <f>IF($K63="","",(SUMIFS(Rezultatai!$J$2:$J$500,Rezultatai!$B$2:$B$500,$K63,Rezultatai!$A$2:$A$500,$C$2-1,Rezultatai!$D$2:$D$500,"&lt;&gt;Papildomi (R+)")+MIN(SUMIFS(Rezultatai!$J$2:$J$500,Rezultatai!$B$2:$B$500,$K63,Rezultatai!$A$2:$A$500,$C$2-1,Rezultatai!$D$2:$D$500,"Papildomi (R+)"),0.15*(SUMIFS(Rezultatai!$J$2:$J$500,Rezultatai!$B$2:$B$500,$K63,Rezultatai!$A$2:$A$500,$C$2-1,Rezultatai!$D$2:$D$500,"&lt;&gt;Papildomi (R+)"))))*MIN(450,400+(1/70)*(SUMIFS(Parametrai!$B$2:$B$40,Parametrai!$A$2:$A$40,$C$2-1)-2500)))</f>
        <v>0</v>
      </c>
      <c r="O63" s="18">
        <f>IF($K63="","",(SUMIFS(Rezultatai!$J$2:$J$500,Rezultatai!$B$2:$B$500,$K63,Rezultatai!$A$2:$A$500,$C$2,Rezultatai!$D$2:$D$500,"&lt;&gt;Papildomi (R+)")+MIN(SUMIFS(Rezultatai!$J$2:$J$500,Rezultatai!$B$2:$B$500,$K63,Rezultatai!$A$2:$A$500,$C$2,Rezultatai!$D$2:$D$500,"Papildomi (R+)"),0.15*(SUMIFS(Rezultatai!$J$2:$J$500,Rezultatai!$B$2:$B$500,$K63,Rezultatai!$A$2:$A$500,$C$2,Rezultatai!$D$2:$D$500,"&lt;&gt;Papildomi (R+)"))))*MIN(550,450+(1/35)*(SUMIFS(Parametrai!$B$2:$B$40,Parametrai!$A$2:$A$40,$C$2)-2500)))</f>
        <v>0</v>
      </c>
      <c r="P63" s="18">
        <f t="shared" si="16"/>
        <v>0</v>
      </c>
      <c r="Q63" s="17">
        <f t="shared" si="17"/>
        <v>23</v>
      </c>
      <c r="R63" s="17">
        <f>IF($K63="","",IF($F$2="Pilotas",SUMPRODUCT(($K$6:$K$105&lt;&gt;"")*($K$6:$K$105&lt;$K63))+COUNTIF($K$6:$K63,$K63),IF($F$2="Klubas",SUMPRODUCT(($K$6:$K$105&lt;&gt;"")*($L$6:$L$105&lt;$L63))+SUMPRODUCT(($K$6:$K$105&lt;&gt;"")*($L$6:$L$105=$L63)*($Q$6:$Q$105&lt;$Q63))+COUNTIFS($L$6:$L63,$L63,$Q$6:$Q63,$Q63),IF($F$2="Nr",COUNTIF($K$6:$K63,"?*"),$Q63+COUNTIF($Q$6:$Q63,$Q63)-1))))</f>
        <v>58</v>
      </c>
    </row>
    <row r="64" spans="1:18" ht="15" customHeight="1" x14ac:dyDescent="0.3">
      <c r="A64" s="13">
        <f>IFERROR(MATCH(59,$R$6:$R$105,0),"")</f>
        <v>59</v>
      </c>
      <c r="B64" s="13" t="str">
        <f t="shared" si="9"/>
        <v>Mantas Binkis</v>
      </c>
      <c r="C64" s="13" t="str">
        <f t="shared" si="10"/>
        <v>Biržų Aeroklubas</v>
      </c>
      <c r="D64" s="14">
        <f t="shared" si="11"/>
        <v>0</v>
      </c>
      <c r="E64" s="14">
        <f t="shared" si="12"/>
        <v>0</v>
      </c>
      <c r="F64" s="14">
        <f t="shared" si="13"/>
        <v>0</v>
      </c>
      <c r="G64" s="15">
        <f t="shared" si="14"/>
        <v>0</v>
      </c>
      <c r="H64" s="16">
        <f t="shared" si="15"/>
        <v>23</v>
      </c>
      <c r="K64" s="17" t="str">
        <f>IF(Pilotai!B60="","",Pilotai!B60)</f>
        <v>Mantas Binkis</v>
      </c>
      <c r="L64" s="17" t="str">
        <f>IF($K64="","",Pilotai!C60)</f>
        <v>Biržų Aeroklubas</v>
      </c>
      <c r="M64" s="18">
        <f>IF($K64="","",(SUMIFS(Rezultatai!$J$2:$J$500,Rezultatai!$B$2:$B$500,$K64,Rezultatai!$A$2:$A$500,$C$2-2,Rezultatai!$D$2:$D$500,"&lt;&gt;Papildomi (R+)")+MIN(SUMIFS(Rezultatai!$J$2:$J$500,Rezultatai!$B$2:$B$500,$K64,Rezultatai!$A$2:$A$500,$C$2-2,Rezultatai!$D$2:$D$500,"Papildomi (R+)"),0.15*(SUMIFS(Rezultatai!$J$2:$J$500,Rezultatai!$B$2:$B$500,$K64,Rezultatai!$A$2:$A$500,$C$2-2,Rezultatai!$D$2:$D$500,"&lt;&gt;Papildomi (R+)"))))*MIN(425,375+(1/70)*(SUMIFS(Parametrai!$B$2:$B$40,Parametrai!$A$2:$A$40,$C$2-2)-2500)))</f>
        <v>0</v>
      </c>
      <c r="N64" s="18">
        <f>IF($K64="","",(SUMIFS(Rezultatai!$J$2:$J$500,Rezultatai!$B$2:$B$500,$K64,Rezultatai!$A$2:$A$500,$C$2-1,Rezultatai!$D$2:$D$500,"&lt;&gt;Papildomi (R+)")+MIN(SUMIFS(Rezultatai!$J$2:$J$500,Rezultatai!$B$2:$B$500,$K64,Rezultatai!$A$2:$A$500,$C$2-1,Rezultatai!$D$2:$D$500,"Papildomi (R+)"),0.15*(SUMIFS(Rezultatai!$J$2:$J$500,Rezultatai!$B$2:$B$500,$K64,Rezultatai!$A$2:$A$500,$C$2-1,Rezultatai!$D$2:$D$500,"&lt;&gt;Papildomi (R+)"))))*MIN(450,400+(1/70)*(SUMIFS(Parametrai!$B$2:$B$40,Parametrai!$A$2:$A$40,$C$2-1)-2500)))</f>
        <v>0</v>
      </c>
      <c r="O64" s="18">
        <f>IF($K64="","",(SUMIFS(Rezultatai!$J$2:$J$500,Rezultatai!$B$2:$B$500,$K64,Rezultatai!$A$2:$A$500,$C$2,Rezultatai!$D$2:$D$500,"&lt;&gt;Papildomi (R+)")+MIN(SUMIFS(Rezultatai!$J$2:$J$500,Rezultatai!$B$2:$B$500,$K64,Rezultatai!$A$2:$A$500,$C$2,Rezultatai!$D$2:$D$500,"Papildomi (R+)"),0.15*(SUMIFS(Rezultatai!$J$2:$J$500,Rezultatai!$B$2:$B$500,$K64,Rezultatai!$A$2:$A$500,$C$2,Rezultatai!$D$2:$D$500,"&lt;&gt;Papildomi (R+)"))))*MIN(550,450+(1/35)*(SUMIFS(Parametrai!$B$2:$B$40,Parametrai!$A$2:$A$40,$C$2)-2500)))</f>
        <v>0</v>
      </c>
      <c r="P64" s="18">
        <f t="shared" si="16"/>
        <v>0</v>
      </c>
      <c r="Q64" s="17">
        <f t="shared" si="17"/>
        <v>23</v>
      </c>
      <c r="R64" s="17">
        <f>IF($K64="","",IF($F$2="Pilotas",SUMPRODUCT(($K$6:$K$105&lt;&gt;"")*($K$6:$K$105&lt;$K64))+COUNTIF($K$6:$K64,$K64),IF($F$2="Klubas",SUMPRODUCT(($K$6:$K$105&lt;&gt;"")*($L$6:$L$105&lt;$L64))+SUMPRODUCT(($K$6:$K$105&lt;&gt;"")*($L$6:$L$105=$L64)*($Q$6:$Q$105&lt;$Q64))+COUNTIFS($L$6:$L64,$L64,$Q$6:$Q64,$Q64),IF($F$2="Nr",COUNTIF($K$6:$K64,"?*"),$Q64+COUNTIF($Q$6:$Q64,$Q64)-1))))</f>
        <v>59</v>
      </c>
    </row>
    <row r="65" spans="1:18" ht="15" customHeight="1" x14ac:dyDescent="0.3">
      <c r="A65" s="13">
        <f>IFERROR(MATCH(60,$R$6:$R$105,0),"")</f>
        <v>60</v>
      </c>
      <c r="B65" s="13" t="str">
        <f t="shared" si="9"/>
        <v>Marius Sargevičius</v>
      </c>
      <c r="C65" s="13" t="str">
        <f t="shared" si="10"/>
        <v>Kauno AASK</v>
      </c>
      <c r="D65" s="14">
        <f t="shared" si="11"/>
        <v>0</v>
      </c>
      <c r="E65" s="14">
        <f t="shared" si="12"/>
        <v>0</v>
      </c>
      <c r="F65" s="14">
        <f t="shared" si="13"/>
        <v>0</v>
      </c>
      <c r="G65" s="15">
        <f t="shared" si="14"/>
        <v>0</v>
      </c>
      <c r="H65" s="16">
        <f t="shared" si="15"/>
        <v>23</v>
      </c>
      <c r="K65" s="17" t="str">
        <f>IF(Pilotai!B61="","",Pilotai!B61)</f>
        <v>Marius Sargevičius</v>
      </c>
      <c r="L65" s="17" t="str">
        <f>IF($K65="","",Pilotai!C61)</f>
        <v>Kauno AASK</v>
      </c>
      <c r="M65" s="18">
        <f>IF($K65="","",(SUMIFS(Rezultatai!$J$2:$J$500,Rezultatai!$B$2:$B$500,$K65,Rezultatai!$A$2:$A$500,$C$2-2,Rezultatai!$D$2:$D$500,"&lt;&gt;Papildomi (R+)")+MIN(SUMIFS(Rezultatai!$J$2:$J$500,Rezultatai!$B$2:$B$500,$K65,Rezultatai!$A$2:$A$500,$C$2-2,Rezultatai!$D$2:$D$500,"Papildomi (R+)"),0.15*(SUMIFS(Rezultatai!$J$2:$J$500,Rezultatai!$B$2:$B$500,$K65,Rezultatai!$A$2:$A$500,$C$2-2,Rezultatai!$D$2:$D$500,"&lt;&gt;Papildomi (R+)"))))*MIN(425,375+(1/70)*(SUMIFS(Parametrai!$B$2:$B$40,Parametrai!$A$2:$A$40,$C$2-2)-2500)))</f>
        <v>0</v>
      </c>
      <c r="N65" s="18">
        <f>IF($K65="","",(SUMIFS(Rezultatai!$J$2:$J$500,Rezultatai!$B$2:$B$500,$K65,Rezultatai!$A$2:$A$500,$C$2-1,Rezultatai!$D$2:$D$500,"&lt;&gt;Papildomi (R+)")+MIN(SUMIFS(Rezultatai!$J$2:$J$500,Rezultatai!$B$2:$B$500,$K65,Rezultatai!$A$2:$A$500,$C$2-1,Rezultatai!$D$2:$D$500,"Papildomi (R+)"),0.15*(SUMIFS(Rezultatai!$J$2:$J$500,Rezultatai!$B$2:$B$500,$K65,Rezultatai!$A$2:$A$500,$C$2-1,Rezultatai!$D$2:$D$500,"&lt;&gt;Papildomi (R+)"))))*MIN(450,400+(1/70)*(SUMIFS(Parametrai!$B$2:$B$40,Parametrai!$A$2:$A$40,$C$2-1)-2500)))</f>
        <v>0</v>
      </c>
      <c r="O65" s="18">
        <f>IF($K65="","",(SUMIFS(Rezultatai!$J$2:$J$500,Rezultatai!$B$2:$B$500,$K65,Rezultatai!$A$2:$A$500,$C$2,Rezultatai!$D$2:$D$500,"&lt;&gt;Papildomi (R+)")+MIN(SUMIFS(Rezultatai!$J$2:$J$500,Rezultatai!$B$2:$B$500,$K65,Rezultatai!$A$2:$A$500,$C$2,Rezultatai!$D$2:$D$500,"Papildomi (R+)"),0.15*(SUMIFS(Rezultatai!$J$2:$J$500,Rezultatai!$B$2:$B$500,$K65,Rezultatai!$A$2:$A$500,$C$2,Rezultatai!$D$2:$D$500,"&lt;&gt;Papildomi (R+)"))))*MIN(550,450+(1/35)*(SUMIFS(Parametrai!$B$2:$B$40,Parametrai!$A$2:$A$40,$C$2)-2500)))</f>
        <v>0</v>
      </c>
      <c r="P65" s="18">
        <f t="shared" si="16"/>
        <v>0</v>
      </c>
      <c r="Q65" s="17">
        <f t="shared" si="17"/>
        <v>23</v>
      </c>
      <c r="R65" s="17">
        <f>IF($K65="","",IF($F$2="Pilotas",SUMPRODUCT(($K$6:$K$105&lt;&gt;"")*($K$6:$K$105&lt;$K65))+COUNTIF($K$6:$K65,$K65),IF($F$2="Klubas",SUMPRODUCT(($K$6:$K$105&lt;&gt;"")*($L$6:$L$105&lt;$L65))+SUMPRODUCT(($K$6:$K$105&lt;&gt;"")*($L$6:$L$105=$L65)*($Q$6:$Q$105&lt;$Q65))+COUNTIFS($L$6:$L65,$L65,$Q$6:$Q65,$Q65),IF($F$2="Nr",COUNTIF($K$6:$K65,"?*"),$Q65+COUNTIF($Q$6:$Q65,$Q65)-1))))</f>
        <v>60</v>
      </c>
    </row>
    <row r="66" spans="1:18" ht="15" customHeight="1" x14ac:dyDescent="0.3">
      <c r="A66" s="13">
        <f>IFERROR(MATCH(61,$R$6:$R$105,0),"")</f>
        <v>61</v>
      </c>
      <c r="B66" s="13" t="str">
        <f t="shared" si="9"/>
        <v>Martynas Liutkevicius</v>
      </c>
      <c r="C66" s="13" t="str">
        <f t="shared" si="10"/>
        <v>Kauno AASK</v>
      </c>
      <c r="D66" s="14">
        <f t="shared" si="11"/>
        <v>0</v>
      </c>
      <c r="E66" s="14">
        <f t="shared" si="12"/>
        <v>0</v>
      </c>
      <c r="F66" s="14">
        <f t="shared" si="13"/>
        <v>0</v>
      </c>
      <c r="G66" s="15">
        <f t="shared" si="14"/>
        <v>0</v>
      </c>
      <c r="H66" s="16">
        <f t="shared" si="15"/>
        <v>23</v>
      </c>
      <c r="K66" s="17" t="str">
        <f>IF(Pilotai!B62="","",Pilotai!B62)</f>
        <v>Martynas Liutkevicius</v>
      </c>
      <c r="L66" s="17" t="str">
        <f>IF($K66="","",Pilotai!C62)</f>
        <v>Kauno AASK</v>
      </c>
      <c r="M66" s="18">
        <f>IF($K66="","",(SUMIFS(Rezultatai!$J$2:$J$500,Rezultatai!$B$2:$B$500,$K66,Rezultatai!$A$2:$A$500,$C$2-2,Rezultatai!$D$2:$D$500,"&lt;&gt;Papildomi (R+)")+MIN(SUMIFS(Rezultatai!$J$2:$J$500,Rezultatai!$B$2:$B$500,$K66,Rezultatai!$A$2:$A$500,$C$2-2,Rezultatai!$D$2:$D$500,"Papildomi (R+)"),0.15*(SUMIFS(Rezultatai!$J$2:$J$500,Rezultatai!$B$2:$B$500,$K66,Rezultatai!$A$2:$A$500,$C$2-2,Rezultatai!$D$2:$D$500,"&lt;&gt;Papildomi (R+)"))))*MIN(425,375+(1/70)*(SUMIFS(Parametrai!$B$2:$B$40,Parametrai!$A$2:$A$40,$C$2-2)-2500)))</f>
        <v>0</v>
      </c>
      <c r="N66" s="18">
        <f>IF($K66="","",(SUMIFS(Rezultatai!$J$2:$J$500,Rezultatai!$B$2:$B$500,$K66,Rezultatai!$A$2:$A$500,$C$2-1,Rezultatai!$D$2:$D$500,"&lt;&gt;Papildomi (R+)")+MIN(SUMIFS(Rezultatai!$J$2:$J$500,Rezultatai!$B$2:$B$500,$K66,Rezultatai!$A$2:$A$500,$C$2-1,Rezultatai!$D$2:$D$500,"Papildomi (R+)"),0.15*(SUMIFS(Rezultatai!$J$2:$J$500,Rezultatai!$B$2:$B$500,$K66,Rezultatai!$A$2:$A$500,$C$2-1,Rezultatai!$D$2:$D$500,"&lt;&gt;Papildomi (R+)"))))*MIN(450,400+(1/70)*(SUMIFS(Parametrai!$B$2:$B$40,Parametrai!$A$2:$A$40,$C$2-1)-2500)))</f>
        <v>0</v>
      </c>
      <c r="O66" s="18">
        <f>IF($K66="","",(SUMIFS(Rezultatai!$J$2:$J$500,Rezultatai!$B$2:$B$500,$K66,Rezultatai!$A$2:$A$500,$C$2,Rezultatai!$D$2:$D$500,"&lt;&gt;Papildomi (R+)")+MIN(SUMIFS(Rezultatai!$J$2:$J$500,Rezultatai!$B$2:$B$500,$K66,Rezultatai!$A$2:$A$500,$C$2,Rezultatai!$D$2:$D$500,"Papildomi (R+)"),0.15*(SUMIFS(Rezultatai!$J$2:$J$500,Rezultatai!$B$2:$B$500,$K66,Rezultatai!$A$2:$A$500,$C$2,Rezultatai!$D$2:$D$500,"&lt;&gt;Papildomi (R+)"))))*MIN(550,450+(1/35)*(SUMIFS(Parametrai!$B$2:$B$40,Parametrai!$A$2:$A$40,$C$2)-2500)))</f>
        <v>0</v>
      </c>
      <c r="P66" s="18">
        <f t="shared" si="16"/>
        <v>0</v>
      </c>
      <c r="Q66" s="17">
        <f t="shared" si="17"/>
        <v>23</v>
      </c>
      <c r="R66" s="17">
        <f>IF($K66="","",IF($F$2="Pilotas",SUMPRODUCT(($K$6:$K$105&lt;&gt;"")*($K$6:$K$105&lt;$K66))+COUNTIF($K$6:$K66,$K66),IF($F$2="Klubas",SUMPRODUCT(($K$6:$K$105&lt;&gt;"")*($L$6:$L$105&lt;$L66))+SUMPRODUCT(($K$6:$K$105&lt;&gt;"")*($L$6:$L$105=$L66)*($Q$6:$Q$105&lt;$Q66))+COUNTIFS($L$6:$L66,$L66,$Q$6:$Q66,$Q66),IF($F$2="Nr",COUNTIF($K$6:$K66,"?*"),$Q66+COUNTIF($Q$6:$Q66,$Q66)-1))))</f>
        <v>61</v>
      </c>
    </row>
    <row r="67" spans="1:18" ht="15" customHeight="1" x14ac:dyDescent="0.3">
      <c r="A67" s="13">
        <f>IFERROR(MATCH(62,$R$6:$R$105,0),"")</f>
        <v>62</v>
      </c>
      <c r="B67" s="13" t="str">
        <f t="shared" si="9"/>
        <v>Mindaugas Milasauskas</v>
      </c>
      <c r="C67" s="13" t="str">
        <f t="shared" si="10"/>
        <v>Vilniaus Aeroklubas</v>
      </c>
      <c r="D67" s="14">
        <f t="shared" si="11"/>
        <v>0</v>
      </c>
      <c r="E67" s="14">
        <f t="shared" si="12"/>
        <v>0</v>
      </c>
      <c r="F67" s="14">
        <f t="shared" si="13"/>
        <v>0</v>
      </c>
      <c r="G67" s="15">
        <f t="shared" si="14"/>
        <v>0</v>
      </c>
      <c r="H67" s="16">
        <f t="shared" si="15"/>
        <v>23</v>
      </c>
      <c r="K67" s="17" t="str">
        <f>IF(Pilotai!B63="","",Pilotai!B63)</f>
        <v>Mindaugas Milasauskas</v>
      </c>
      <c r="L67" s="17" t="str">
        <f>IF($K67="","",Pilotai!C63)</f>
        <v>Vilniaus Aeroklubas</v>
      </c>
      <c r="M67" s="18">
        <f>IF($K67="","",(SUMIFS(Rezultatai!$J$2:$J$500,Rezultatai!$B$2:$B$500,$K67,Rezultatai!$A$2:$A$500,$C$2-2,Rezultatai!$D$2:$D$500,"&lt;&gt;Papildomi (R+)")+MIN(SUMIFS(Rezultatai!$J$2:$J$500,Rezultatai!$B$2:$B$500,$K67,Rezultatai!$A$2:$A$500,$C$2-2,Rezultatai!$D$2:$D$500,"Papildomi (R+)"),0.15*(SUMIFS(Rezultatai!$J$2:$J$500,Rezultatai!$B$2:$B$500,$K67,Rezultatai!$A$2:$A$500,$C$2-2,Rezultatai!$D$2:$D$500,"&lt;&gt;Papildomi (R+)"))))*MIN(425,375+(1/70)*(SUMIFS(Parametrai!$B$2:$B$40,Parametrai!$A$2:$A$40,$C$2-2)-2500)))</f>
        <v>0</v>
      </c>
      <c r="N67" s="18">
        <f>IF($K67="","",(SUMIFS(Rezultatai!$J$2:$J$500,Rezultatai!$B$2:$B$500,$K67,Rezultatai!$A$2:$A$500,$C$2-1,Rezultatai!$D$2:$D$500,"&lt;&gt;Papildomi (R+)")+MIN(SUMIFS(Rezultatai!$J$2:$J$500,Rezultatai!$B$2:$B$500,$K67,Rezultatai!$A$2:$A$500,$C$2-1,Rezultatai!$D$2:$D$500,"Papildomi (R+)"),0.15*(SUMIFS(Rezultatai!$J$2:$J$500,Rezultatai!$B$2:$B$500,$K67,Rezultatai!$A$2:$A$500,$C$2-1,Rezultatai!$D$2:$D$500,"&lt;&gt;Papildomi (R+)"))))*MIN(450,400+(1/70)*(SUMIFS(Parametrai!$B$2:$B$40,Parametrai!$A$2:$A$40,$C$2-1)-2500)))</f>
        <v>0</v>
      </c>
      <c r="O67" s="18">
        <f>IF($K67="","",(SUMIFS(Rezultatai!$J$2:$J$500,Rezultatai!$B$2:$B$500,$K67,Rezultatai!$A$2:$A$500,$C$2,Rezultatai!$D$2:$D$500,"&lt;&gt;Papildomi (R+)")+MIN(SUMIFS(Rezultatai!$J$2:$J$500,Rezultatai!$B$2:$B$500,$K67,Rezultatai!$A$2:$A$500,$C$2,Rezultatai!$D$2:$D$500,"Papildomi (R+)"),0.15*(SUMIFS(Rezultatai!$J$2:$J$500,Rezultatai!$B$2:$B$500,$K67,Rezultatai!$A$2:$A$500,$C$2,Rezultatai!$D$2:$D$500,"&lt;&gt;Papildomi (R+)"))))*MIN(550,450+(1/35)*(SUMIFS(Parametrai!$B$2:$B$40,Parametrai!$A$2:$A$40,$C$2)-2500)))</f>
        <v>0</v>
      </c>
      <c r="P67" s="18">
        <f t="shared" si="16"/>
        <v>0</v>
      </c>
      <c r="Q67" s="17">
        <f t="shared" si="17"/>
        <v>23</v>
      </c>
      <c r="R67" s="17">
        <f>IF($K67="","",IF($F$2="Pilotas",SUMPRODUCT(($K$6:$K$105&lt;&gt;"")*($K$6:$K$105&lt;$K67))+COUNTIF($K$6:$K67,$K67),IF($F$2="Klubas",SUMPRODUCT(($K$6:$K$105&lt;&gt;"")*($L$6:$L$105&lt;$L67))+SUMPRODUCT(($K$6:$K$105&lt;&gt;"")*($L$6:$L$105=$L67)*($Q$6:$Q$105&lt;$Q67))+COUNTIFS($L$6:$L67,$L67,$Q$6:$Q67,$Q67),IF($F$2="Nr",COUNTIF($K$6:$K67,"?*"),$Q67+COUNTIF($Q$6:$Q67,$Q67)-1))))</f>
        <v>62</v>
      </c>
    </row>
    <row r="68" spans="1:18" ht="15" customHeight="1" x14ac:dyDescent="0.3">
      <c r="A68" s="13">
        <f>IFERROR(MATCH(63,$R$6:$R$105,0),"")</f>
        <v>63</v>
      </c>
      <c r="B68" s="13" t="str">
        <f t="shared" si="9"/>
        <v>Robertas Venckus</v>
      </c>
      <c r="C68" s="13" t="str">
        <f t="shared" si="10"/>
        <v>Biržų Aeroklubas</v>
      </c>
      <c r="D68" s="14">
        <f t="shared" si="11"/>
        <v>0</v>
      </c>
      <c r="E68" s="14">
        <f t="shared" si="12"/>
        <v>0</v>
      </c>
      <c r="F68" s="14">
        <f t="shared" si="13"/>
        <v>0</v>
      </c>
      <c r="G68" s="15">
        <f t="shared" si="14"/>
        <v>0</v>
      </c>
      <c r="H68" s="16">
        <f t="shared" si="15"/>
        <v>23</v>
      </c>
      <c r="K68" s="17" t="str">
        <f>IF(Pilotai!B64="","",Pilotai!B64)</f>
        <v>Robertas Venckus</v>
      </c>
      <c r="L68" s="17" t="str">
        <f>IF($K68="","",Pilotai!C64)</f>
        <v>Biržų Aeroklubas</v>
      </c>
      <c r="M68" s="18">
        <f>IF($K68="","",(SUMIFS(Rezultatai!$J$2:$J$500,Rezultatai!$B$2:$B$500,$K68,Rezultatai!$A$2:$A$500,$C$2-2,Rezultatai!$D$2:$D$500,"&lt;&gt;Papildomi (R+)")+MIN(SUMIFS(Rezultatai!$J$2:$J$500,Rezultatai!$B$2:$B$500,$K68,Rezultatai!$A$2:$A$500,$C$2-2,Rezultatai!$D$2:$D$500,"Papildomi (R+)"),0.15*(SUMIFS(Rezultatai!$J$2:$J$500,Rezultatai!$B$2:$B$500,$K68,Rezultatai!$A$2:$A$500,$C$2-2,Rezultatai!$D$2:$D$500,"&lt;&gt;Papildomi (R+)"))))*MIN(425,375+(1/70)*(SUMIFS(Parametrai!$B$2:$B$40,Parametrai!$A$2:$A$40,$C$2-2)-2500)))</f>
        <v>0</v>
      </c>
      <c r="N68" s="18">
        <f>IF($K68="","",(SUMIFS(Rezultatai!$J$2:$J$500,Rezultatai!$B$2:$B$500,$K68,Rezultatai!$A$2:$A$500,$C$2-1,Rezultatai!$D$2:$D$500,"&lt;&gt;Papildomi (R+)")+MIN(SUMIFS(Rezultatai!$J$2:$J$500,Rezultatai!$B$2:$B$500,$K68,Rezultatai!$A$2:$A$500,$C$2-1,Rezultatai!$D$2:$D$500,"Papildomi (R+)"),0.15*(SUMIFS(Rezultatai!$J$2:$J$500,Rezultatai!$B$2:$B$500,$K68,Rezultatai!$A$2:$A$500,$C$2-1,Rezultatai!$D$2:$D$500,"&lt;&gt;Papildomi (R+)"))))*MIN(450,400+(1/70)*(SUMIFS(Parametrai!$B$2:$B$40,Parametrai!$A$2:$A$40,$C$2-1)-2500)))</f>
        <v>0</v>
      </c>
      <c r="O68" s="18">
        <f>IF($K68="","",(SUMIFS(Rezultatai!$J$2:$J$500,Rezultatai!$B$2:$B$500,$K68,Rezultatai!$A$2:$A$500,$C$2,Rezultatai!$D$2:$D$500,"&lt;&gt;Papildomi (R+)")+MIN(SUMIFS(Rezultatai!$J$2:$J$500,Rezultatai!$B$2:$B$500,$K68,Rezultatai!$A$2:$A$500,$C$2,Rezultatai!$D$2:$D$500,"Papildomi (R+)"),0.15*(SUMIFS(Rezultatai!$J$2:$J$500,Rezultatai!$B$2:$B$500,$K68,Rezultatai!$A$2:$A$500,$C$2,Rezultatai!$D$2:$D$500,"&lt;&gt;Papildomi (R+)"))))*MIN(550,450+(1/35)*(SUMIFS(Parametrai!$B$2:$B$40,Parametrai!$A$2:$A$40,$C$2)-2500)))</f>
        <v>0</v>
      </c>
      <c r="P68" s="18">
        <f t="shared" si="16"/>
        <v>0</v>
      </c>
      <c r="Q68" s="17">
        <f t="shared" si="17"/>
        <v>23</v>
      </c>
      <c r="R68" s="17">
        <f>IF($K68="","",IF($F$2="Pilotas",SUMPRODUCT(($K$6:$K$105&lt;&gt;"")*($K$6:$K$105&lt;$K68))+COUNTIF($K$6:$K68,$K68),IF($F$2="Klubas",SUMPRODUCT(($K$6:$K$105&lt;&gt;"")*($L$6:$L$105&lt;$L68))+SUMPRODUCT(($K$6:$K$105&lt;&gt;"")*($L$6:$L$105=$L68)*($Q$6:$Q$105&lt;$Q68))+COUNTIFS($L$6:$L68,$L68,$Q$6:$Q68,$Q68),IF($F$2="Nr",COUNTIF($K$6:$K68,"?*"),$Q68+COUNTIF($Q$6:$Q68,$Q68)-1))))</f>
        <v>63</v>
      </c>
    </row>
    <row r="69" spans="1:18" ht="15" customHeight="1" x14ac:dyDescent="0.3">
      <c r="A69" s="13">
        <f>IFERROR(MATCH(64,$R$6:$R$105,0),"")</f>
        <v>64</v>
      </c>
      <c r="B69" s="13" t="str">
        <f t="shared" si="9"/>
        <v>Rokas Jonaitis</v>
      </c>
      <c r="C69" s="13" t="str">
        <f t="shared" si="10"/>
        <v>Kauno AASK</v>
      </c>
      <c r="D69" s="14">
        <f t="shared" si="11"/>
        <v>0</v>
      </c>
      <c r="E69" s="14">
        <f t="shared" si="12"/>
        <v>0</v>
      </c>
      <c r="F69" s="14">
        <f t="shared" si="13"/>
        <v>0</v>
      </c>
      <c r="G69" s="15">
        <f t="shared" si="14"/>
        <v>0</v>
      </c>
      <c r="H69" s="16">
        <f t="shared" si="15"/>
        <v>23</v>
      </c>
      <c r="K69" s="17" t="str">
        <f>IF(Pilotai!B65="","",Pilotai!B65)</f>
        <v>Rokas Jonaitis</v>
      </c>
      <c r="L69" s="17" t="str">
        <f>IF($K69="","",Pilotai!C65)</f>
        <v>Kauno AASK</v>
      </c>
      <c r="M69" s="18">
        <f>IF($K69="","",(SUMIFS(Rezultatai!$J$2:$J$500,Rezultatai!$B$2:$B$500,$K69,Rezultatai!$A$2:$A$500,$C$2-2,Rezultatai!$D$2:$D$500,"&lt;&gt;Papildomi (R+)")+MIN(SUMIFS(Rezultatai!$J$2:$J$500,Rezultatai!$B$2:$B$500,$K69,Rezultatai!$A$2:$A$500,$C$2-2,Rezultatai!$D$2:$D$500,"Papildomi (R+)"),0.15*(SUMIFS(Rezultatai!$J$2:$J$500,Rezultatai!$B$2:$B$500,$K69,Rezultatai!$A$2:$A$500,$C$2-2,Rezultatai!$D$2:$D$500,"&lt;&gt;Papildomi (R+)"))))*MIN(425,375+(1/70)*(SUMIFS(Parametrai!$B$2:$B$40,Parametrai!$A$2:$A$40,$C$2-2)-2500)))</f>
        <v>0</v>
      </c>
      <c r="N69" s="18">
        <f>IF($K69="","",(SUMIFS(Rezultatai!$J$2:$J$500,Rezultatai!$B$2:$B$500,$K69,Rezultatai!$A$2:$A$500,$C$2-1,Rezultatai!$D$2:$D$500,"&lt;&gt;Papildomi (R+)")+MIN(SUMIFS(Rezultatai!$J$2:$J$500,Rezultatai!$B$2:$B$500,$K69,Rezultatai!$A$2:$A$500,$C$2-1,Rezultatai!$D$2:$D$500,"Papildomi (R+)"),0.15*(SUMIFS(Rezultatai!$J$2:$J$500,Rezultatai!$B$2:$B$500,$K69,Rezultatai!$A$2:$A$500,$C$2-1,Rezultatai!$D$2:$D$500,"&lt;&gt;Papildomi (R+)"))))*MIN(450,400+(1/70)*(SUMIFS(Parametrai!$B$2:$B$40,Parametrai!$A$2:$A$40,$C$2-1)-2500)))</f>
        <v>0</v>
      </c>
      <c r="O69" s="18">
        <f>IF($K69="","",(SUMIFS(Rezultatai!$J$2:$J$500,Rezultatai!$B$2:$B$500,$K69,Rezultatai!$A$2:$A$500,$C$2,Rezultatai!$D$2:$D$500,"&lt;&gt;Papildomi (R+)")+MIN(SUMIFS(Rezultatai!$J$2:$J$500,Rezultatai!$B$2:$B$500,$K69,Rezultatai!$A$2:$A$500,$C$2,Rezultatai!$D$2:$D$500,"Papildomi (R+)"),0.15*(SUMIFS(Rezultatai!$J$2:$J$500,Rezultatai!$B$2:$B$500,$K69,Rezultatai!$A$2:$A$500,$C$2,Rezultatai!$D$2:$D$500,"&lt;&gt;Papildomi (R+)"))))*MIN(550,450+(1/35)*(SUMIFS(Parametrai!$B$2:$B$40,Parametrai!$A$2:$A$40,$C$2)-2500)))</f>
        <v>0</v>
      </c>
      <c r="P69" s="18">
        <f t="shared" si="16"/>
        <v>0</v>
      </c>
      <c r="Q69" s="17">
        <f t="shared" si="17"/>
        <v>23</v>
      </c>
      <c r="R69" s="17">
        <f>IF($K69="","",IF($F$2="Pilotas",SUMPRODUCT(($K$6:$K$105&lt;&gt;"")*($K$6:$K$105&lt;$K69))+COUNTIF($K$6:$K69,$K69),IF($F$2="Klubas",SUMPRODUCT(($K$6:$K$105&lt;&gt;"")*($L$6:$L$105&lt;$L69))+SUMPRODUCT(($K$6:$K$105&lt;&gt;"")*($L$6:$L$105=$L69)*($Q$6:$Q$105&lt;$Q69))+COUNTIFS($L$6:$L69,$L69,$Q$6:$Q69,$Q69),IF($F$2="Nr",COUNTIF($K$6:$K69,"?*"),$Q69+COUNTIF($Q$6:$Q69,$Q69)-1))))</f>
        <v>64</v>
      </c>
    </row>
    <row r="70" spans="1:18" ht="15" customHeight="1" x14ac:dyDescent="0.3">
      <c r="A70" s="13">
        <f>IFERROR(MATCH(65,$R$6:$R$105,0),"")</f>
        <v>65</v>
      </c>
      <c r="B70" s="13" t="str">
        <f t="shared" ref="B70:B105" si="18">IF($A70="","",INDEX($K$6:$K$105,$A70))</f>
        <v>Rokas Liaugaudas</v>
      </c>
      <c r="C70" s="13" t="str">
        <f t="shared" ref="C70:C105" si="19">IF($A70="","",INDEX($L$6:$L$105,$A70))</f>
        <v>Kauno AASK</v>
      </c>
      <c r="D70" s="14">
        <f t="shared" ref="D70:D105" si="20">IF($A70="","",INDEX($M$6:$M$105,$A70))</f>
        <v>0</v>
      </c>
      <c r="E70" s="14">
        <f t="shared" ref="E70:E105" si="21">IF($A70="","",INDEX($N$6:$N$105,$A70))</f>
        <v>0</v>
      </c>
      <c r="F70" s="14">
        <f t="shared" ref="F70:F105" si="22">IF($A70="","",INDEX($O$6:$O$105,$A70))</f>
        <v>0</v>
      </c>
      <c r="G70" s="15">
        <f t="shared" ref="G70:G105" si="23">IF($A70="","",INDEX($P$6:$P$105,$A70))</f>
        <v>0</v>
      </c>
      <c r="H70" s="16">
        <f t="shared" ref="H70:H105" si="24">IF($A70="","",INDEX($Q$6:$Q$105,$A70))</f>
        <v>23</v>
      </c>
      <c r="K70" s="17" t="str">
        <f>IF(Pilotai!B66="","",Pilotai!B66)</f>
        <v>Rokas Liaugaudas</v>
      </c>
      <c r="L70" s="17" t="str">
        <f>IF($K70="","",Pilotai!C66)</f>
        <v>Kauno AASK</v>
      </c>
      <c r="M70" s="18">
        <f>IF($K70="","",(SUMIFS(Rezultatai!$J$2:$J$500,Rezultatai!$B$2:$B$500,$K70,Rezultatai!$A$2:$A$500,$C$2-2,Rezultatai!$D$2:$D$500,"&lt;&gt;Papildomi (R+)")+MIN(SUMIFS(Rezultatai!$J$2:$J$500,Rezultatai!$B$2:$B$500,$K70,Rezultatai!$A$2:$A$500,$C$2-2,Rezultatai!$D$2:$D$500,"Papildomi (R+)"),0.15*(SUMIFS(Rezultatai!$J$2:$J$500,Rezultatai!$B$2:$B$500,$K70,Rezultatai!$A$2:$A$500,$C$2-2,Rezultatai!$D$2:$D$500,"&lt;&gt;Papildomi (R+)"))))*MIN(425,375+(1/70)*(SUMIFS(Parametrai!$B$2:$B$40,Parametrai!$A$2:$A$40,$C$2-2)-2500)))</f>
        <v>0</v>
      </c>
      <c r="N70" s="18">
        <f>IF($K70="","",(SUMIFS(Rezultatai!$J$2:$J$500,Rezultatai!$B$2:$B$500,$K70,Rezultatai!$A$2:$A$500,$C$2-1,Rezultatai!$D$2:$D$500,"&lt;&gt;Papildomi (R+)")+MIN(SUMIFS(Rezultatai!$J$2:$J$500,Rezultatai!$B$2:$B$500,$K70,Rezultatai!$A$2:$A$500,$C$2-1,Rezultatai!$D$2:$D$500,"Papildomi (R+)"),0.15*(SUMIFS(Rezultatai!$J$2:$J$500,Rezultatai!$B$2:$B$500,$K70,Rezultatai!$A$2:$A$500,$C$2-1,Rezultatai!$D$2:$D$500,"&lt;&gt;Papildomi (R+)"))))*MIN(450,400+(1/70)*(SUMIFS(Parametrai!$B$2:$B$40,Parametrai!$A$2:$A$40,$C$2-1)-2500)))</f>
        <v>0</v>
      </c>
      <c r="O70" s="18">
        <f>IF($K70="","",(SUMIFS(Rezultatai!$J$2:$J$500,Rezultatai!$B$2:$B$500,$K70,Rezultatai!$A$2:$A$500,$C$2,Rezultatai!$D$2:$D$500,"&lt;&gt;Papildomi (R+)")+MIN(SUMIFS(Rezultatai!$J$2:$J$500,Rezultatai!$B$2:$B$500,$K70,Rezultatai!$A$2:$A$500,$C$2,Rezultatai!$D$2:$D$500,"Papildomi (R+)"),0.15*(SUMIFS(Rezultatai!$J$2:$J$500,Rezultatai!$B$2:$B$500,$K70,Rezultatai!$A$2:$A$500,$C$2,Rezultatai!$D$2:$D$500,"&lt;&gt;Papildomi (R+)"))))*MIN(550,450+(1/35)*(SUMIFS(Parametrai!$B$2:$B$40,Parametrai!$A$2:$A$40,$C$2)-2500)))</f>
        <v>0</v>
      </c>
      <c r="P70" s="18">
        <f t="shared" ref="P70:P105" si="25">IF($K70="","",SUM($M70:$O70)-MIN($M70:$O70))</f>
        <v>0</v>
      </c>
      <c r="Q70" s="17">
        <f t="shared" ref="Q70:Q105" si="26">IF($K70="","",RANK($P70,$P$6:$P$105,0))</f>
        <v>23</v>
      </c>
      <c r="R70" s="17">
        <f>IF($K70="","",IF($F$2="Pilotas",SUMPRODUCT(($K$6:$K$105&lt;&gt;"")*($K$6:$K$105&lt;$K70))+COUNTIF($K$6:$K70,$K70),IF($F$2="Klubas",SUMPRODUCT(($K$6:$K$105&lt;&gt;"")*($L$6:$L$105&lt;$L70))+SUMPRODUCT(($K$6:$K$105&lt;&gt;"")*($L$6:$L$105=$L70)*($Q$6:$Q$105&lt;$Q70))+COUNTIFS($L$6:$L70,$L70,$Q$6:$Q70,$Q70),IF($F$2="Nr",COUNTIF($K$6:$K70,"?*"),$Q70+COUNTIF($Q$6:$Q70,$Q70)-1))))</f>
        <v>65</v>
      </c>
    </row>
    <row r="71" spans="1:18" ht="15" customHeight="1" x14ac:dyDescent="0.3">
      <c r="A71" s="13">
        <f>IFERROR(MATCH(66,$R$6:$R$105,0),"")</f>
        <v>66</v>
      </c>
      <c r="B71" s="13" t="str">
        <f t="shared" si="18"/>
        <v>Šarunas Šulekas</v>
      </c>
      <c r="C71" s="13" t="str">
        <f t="shared" si="19"/>
        <v>Telšė</v>
      </c>
      <c r="D71" s="14">
        <f t="shared" si="20"/>
        <v>0</v>
      </c>
      <c r="E71" s="14">
        <f t="shared" si="21"/>
        <v>0</v>
      </c>
      <c r="F71" s="14">
        <f t="shared" si="22"/>
        <v>0</v>
      </c>
      <c r="G71" s="15">
        <f t="shared" si="23"/>
        <v>0</v>
      </c>
      <c r="H71" s="16">
        <f t="shared" si="24"/>
        <v>23</v>
      </c>
      <c r="K71" s="17" t="str">
        <f>IF(Pilotai!B67="","",Pilotai!B67)</f>
        <v>Šarunas Šulekas</v>
      </c>
      <c r="L71" s="17" t="str">
        <f>IF($K71="","",Pilotai!C67)</f>
        <v>Telšė</v>
      </c>
      <c r="M71" s="18">
        <f>IF($K71="","",(SUMIFS(Rezultatai!$J$2:$J$500,Rezultatai!$B$2:$B$500,$K71,Rezultatai!$A$2:$A$500,$C$2-2,Rezultatai!$D$2:$D$500,"&lt;&gt;Papildomi (R+)")+MIN(SUMIFS(Rezultatai!$J$2:$J$500,Rezultatai!$B$2:$B$500,$K71,Rezultatai!$A$2:$A$500,$C$2-2,Rezultatai!$D$2:$D$500,"Papildomi (R+)"),0.15*(SUMIFS(Rezultatai!$J$2:$J$500,Rezultatai!$B$2:$B$500,$K71,Rezultatai!$A$2:$A$500,$C$2-2,Rezultatai!$D$2:$D$500,"&lt;&gt;Papildomi (R+)"))))*MIN(425,375+(1/70)*(SUMIFS(Parametrai!$B$2:$B$40,Parametrai!$A$2:$A$40,$C$2-2)-2500)))</f>
        <v>0</v>
      </c>
      <c r="N71" s="18">
        <f>IF($K71="","",(SUMIFS(Rezultatai!$J$2:$J$500,Rezultatai!$B$2:$B$500,$K71,Rezultatai!$A$2:$A$500,$C$2-1,Rezultatai!$D$2:$D$500,"&lt;&gt;Papildomi (R+)")+MIN(SUMIFS(Rezultatai!$J$2:$J$500,Rezultatai!$B$2:$B$500,$K71,Rezultatai!$A$2:$A$500,$C$2-1,Rezultatai!$D$2:$D$500,"Papildomi (R+)"),0.15*(SUMIFS(Rezultatai!$J$2:$J$500,Rezultatai!$B$2:$B$500,$K71,Rezultatai!$A$2:$A$500,$C$2-1,Rezultatai!$D$2:$D$500,"&lt;&gt;Papildomi (R+)"))))*MIN(450,400+(1/70)*(SUMIFS(Parametrai!$B$2:$B$40,Parametrai!$A$2:$A$40,$C$2-1)-2500)))</f>
        <v>0</v>
      </c>
      <c r="O71" s="18">
        <f>IF($K71="","",(SUMIFS(Rezultatai!$J$2:$J$500,Rezultatai!$B$2:$B$500,$K71,Rezultatai!$A$2:$A$500,$C$2,Rezultatai!$D$2:$D$500,"&lt;&gt;Papildomi (R+)")+MIN(SUMIFS(Rezultatai!$J$2:$J$500,Rezultatai!$B$2:$B$500,$K71,Rezultatai!$A$2:$A$500,$C$2,Rezultatai!$D$2:$D$500,"Papildomi (R+)"),0.15*(SUMIFS(Rezultatai!$J$2:$J$500,Rezultatai!$B$2:$B$500,$K71,Rezultatai!$A$2:$A$500,$C$2,Rezultatai!$D$2:$D$500,"&lt;&gt;Papildomi (R+)"))))*MIN(550,450+(1/35)*(SUMIFS(Parametrai!$B$2:$B$40,Parametrai!$A$2:$A$40,$C$2)-2500)))</f>
        <v>0</v>
      </c>
      <c r="P71" s="18">
        <f t="shared" si="25"/>
        <v>0</v>
      </c>
      <c r="Q71" s="17">
        <f t="shared" si="26"/>
        <v>23</v>
      </c>
      <c r="R71" s="17">
        <f>IF($K71="","",IF($F$2="Pilotas",SUMPRODUCT(($K$6:$K$105&lt;&gt;"")*($K$6:$K$105&lt;$K71))+COUNTIF($K$6:$K71,$K71),IF($F$2="Klubas",SUMPRODUCT(($K$6:$K$105&lt;&gt;"")*($L$6:$L$105&lt;$L71))+SUMPRODUCT(($K$6:$K$105&lt;&gt;"")*($L$6:$L$105=$L71)*($Q$6:$Q$105&lt;$Q71))+COUNTIFS($L$6:$L71,$L71,$Q$6:$Q71,$Q71),IF($F$2="Nr",COUNTIF($K$6:$K71,"?*"),$Q71+COUNTIF($Q$6:$Q71,$Q71)-1))))</f>
        <v>66</v>
      </c>
    </row>
    <row r="72" spans="1:18" ht="15" customHeight="1" x14ac:dyDescent="0.3">
      <c r="A72" s="13">
        <f>IFERROR(MATCH(67,$R$6:$R$105,0),"")</f>
        <v>67</v>
      </c>
      <c r="B72" s="13" t="str">
        <f t="shared" si="18"/>
        <v>Simonas Kuprys</v>
      </c>
      <c r="C72" s="13" t="str">
        <f t="shared" si="19"/>
        <v>Kauno AASK</v>
      </c>
      <c r="D72" s="14">
        <f t="shared" si="20"/>
        <v>0</v>
      </c>
      <c r="E72" s="14">
        <f t="shared" si="21"/>
        <v>0</v>
      </c>
      <c r="F72" s="14">
        <f t="shared" si="22"/>
        <v>0</v>
      </c>
      <c r="G72" s="15">
        <f t="shared" si="23"/>
        <v>0</v>
      </c>
      <c r="H72" s="16">
        <f t="shared" si="24"/>
        <v>23</v>
      </c>
      <c r="K72" s="17" t="str">
        <f>IF(Pilotai!B68="","",Pilotai!B68)</f>
        <v>Simonas Kuprys</v>
      </c>
      <c r="L72" s="17" t="str">
        <f>IF($K72="","",Pilotai!C68)</f>
        <v>Kauno AASK</v>
      </c>
      <c r="M72" s="18">
        <f>IF($K72="","",(SUMIFS(Rezultatai!$J$2:$J$500,Rezultatai!$B$2:$B$500,$K72,Rezultatai!$A$2:$A$500,$C$2-2,Rezultatai!$D$2:$D$500,"&lt;&gt;Papildomi (R+)")+MIN(SUMIFS(Rezultatai!$J$2:$J$500,Rezultatai!$B$2:$B$500,$K72,Rezultatai!$A$2:$A$500,$C$2-2,Rezultatai!$D$2:$D$500,"Papildomi (R+)"),0.15*(SUMIFS(Rezultatai!$J$2:$J$500,Rezultatai!$B$2:$B$500,$K72,Rezultatai!$A$2:$A$500,$C$2-2,Rezultatai!$D$2:$D$500,"&lt;&gt;Papildomi (R+)"))))*MIN(425,375+(1/70)*(SUMIFS(Parametrai!$B$2:$B$40,Parametrai!$A$2:$A$40,$C$2-2)-2500)))</f>
        <v>0</v>
      </c>
      <c r="N72" s="18">
        <f>IF($K72="","",(SUMIFS(Rezultatai!$J$2:$J$500,Rezultatai!$B$2:$B$500,$K72,Rezultatai!$A$2:$A$500,$C$2-1,Rezultatai!$D$2:$D$500,"&lt;&gt;Papildomi (R+)")+MIN(SUMIFS(Rezultatai!$J$2:$J$500,Rezultatai!$B$2:$B$500,$K72,Rezultatai!$A$2:$A$500,$C$2-1,Rezultatai!$D$2:$D$500,"Papildomi (R+)"),0.15*(SUMIFS(Rezultatai!$J$2:$J$500,Rezultatai!$B$2:$B$500,$K72,Rezultatai!$A$2:$A$500,$C$2-1,Rezultatai!$D$2:$D$500,"&lt;&gt;Papildomi (R+)"))))*MIN(450,400+(1/70)*(SUMIFS(Parametrai!$B$2:$B$40,Parametrai!$A$2:$A$40,$C$2-1)-2500)))</f>
        <v>0</v>
      </c>
      <c r="O72" s="18">
        <f>IF($K72="","",(SUMIFS(Rezultatai!$J$2:$J$500,Rezultatai!$B$2:$B$500,$K72,Rezultatai!$A$2:$A$500,$C$2,Rezultatai!$D$2:$D$500,"&lt;&gt;Papildomi (R+)")+MIN(SUMIFS(Rezultatai!$J$2:$J$500,Rezultatai!$B$2:$B$500,$K72,Rezultatai!$A$2:$A$500,$C$2,Rezultatai!$D$2:$D$500,"Papildomi (R+)"),0.15*(SUMIFS(Rezultatai!$J$2:$J$500,Rezultatai!$B$2:$B$500,$K72,Rezultatai!$A$2:$A$500,$C$2,Rezultatai!$D$2:$D$500,"&lt;&gt;Papildomi (R+)"))))*MIN(550,450+(1/35)*(SUMIFS(Parametrai!$B$2:$B$40,Parametrai!$A$2:$A$40,$C$2)-2500)))</f>
        <v>0</v>
      </c>
      <c r="P72" s="18">
        <f t="shared" si="25"/>
        <v>0</v>
      </c>
      <c r="Q72" s="17">
        <f t="shared" si="26"/>
        <v>23</v>
      </c>
      <c r="R72" s="17">
        <f>IF($K72="","",IF($F$2="Pilotas",SUMPRODUCT(($K$6:$K$105&lt;&gt;"")*($K$6:$K$105&lt;$K72))+COUNTIF($K$6:$K72,$K72),IF($F$2="Klubas",SUMPRODUCT(($K$6:$K$105&lt;&gt;"")*($L$6:$L$105&lt;$L72))+SUMPRODUCT(($K$6:$K$105&lt;&gt;"")*($L$6:$L$105=$L72)*($Q$6:$Q$105&lt;$Q72))+COUNTIFS($L$6:$L72,$L72,$Q$6:$Q72,$Q72),IF($F$2="Nr",COUNTIF($K$6:$K72,"?*"),$Q72+COUNTIF($Q$6:$Q72,$Q72)-1))))</f>
        <v>67</v>
      </c>
    </row>
    <row r="73" spans="1:18" ht="15" customHeight="1" x14ac:dyDescent="0.3">
      <c r="A73" s="13">
        <f>IFERROR(MATCH(68,$R$6:$R$105,0),"")</f>
        <v>68</v>
      </c>
      <c r="B73" s="13" t="str">
        <f t="shared" si="18"/>
        <v>Vaidas Pileičikas</v>
      </c>
      <c r="C73" s="13" t="str">
        <f t="shared" si="19"/>
        <v>Kauno AASK</v>
      </c>
      <c r="D73" s="14">
        <f t="shared" si="20"/>
        <v>0</v>
      </c>
      <c r="E73" s="14">
        <f t="shared" si="21"/>
        <v>0</v>
      </c>
      <c r="F73" s="14">
        <f t="shared" si="22"/>
        <v>0</v>
      </c>
      <c r="G73" s="15">
        <f t="shared" si="23"/>
        <v>0</v>
      </c>
      <c r="H73" s="16">
        <f t="shared" si="24"/>
        <v>23</v>
      </c>
      <c r="K73" s="17" t="str">
        <f>IF(Pilotai!B69="","",Pilotai!B69)</f>
        <v>Vaidas Pileičikas</v>
      </c>
      <c r="L73" s="17" t="str">
        <f>IF($K73="","",Pilotai!C69)</f>
        <v>Kauno AASK</v>
      </c>
      <c r="M73" s="18">
        <f>IF($K73="","",(SUMIFS(Rezultatai!$J$2:$J$500,Rezultatai!$B$2:$B$500,$K73,Rezultatai!$A$2:$A$500,$C$2-2,Rezultatai!$D$2:$D$500,"&lt;&gt;Papildomi (R+)")+MIN(SUMIFS(Rezultatai!$J$2:$J$500,Rezultatai!$B$2:$B$500,$K73,Rezultatai!$A$2:$A$500,$C$2-2,Rezultatai!$D$2:$D$500,"Papildomi (R+)"),0.15*(SUMIFS(Rezultatai!$J$2:$J$500,Rezultatai!$B$2:$B$500,$K73,Rezultatai!$A$2:$A$500,$C$2-2,Rezultatai!$D$2:$D$500,"&lt;&gt;Papildomi (R+)"))))*MIN(425,375+(1/70)*(SUMIFS(Parametrai!$B$2:$B$40,Parametrai!$A$2:$A$40,$C$2-2)-2500)))</f>
        <v>0</v>
      </c>
      <c r="N73" s="18">
        <f>IF($K73="","",(SUMIFS(Rezultatai!$J$2:$J$500,Rezultatai!$B$2:$B$500,$K73,Rezultatai!$A$2:$A$500,$C$2-1,Rezultatai!$D$2:$D$500,"&lt;&gt;Papildomi (R+)")+MIN(SUMIFS(Rezultatai!$J$2:$J$500,Rezultatai!$B$2:$B$500,$K73,Rezultatai!$A$2:$A$500,$C$2-1,Rezultatai!$D$2:$D$500,"Papildomi (R+)"),0.15*(SUMIFS(Rezultatai!$J$2:$J$500,Rezultatai!$B$2:$B$500,$K73,Rezultatai!$A$2:$A$500,$C$2-1,Rezultatai!$D$2:$D$500,"&lt;&gt;Papildomi (R+)"))))*MIN(450,400+(1/70)*(SUMIFS(Parametrai!$B$2:$B$40,Parametrai!$A$2:$A$40,$C$2-1)-2500)))</f>
        <v>0</v>
      </c>
      <c r="O73" s="18">
        <f>IF($K73="","",(SUMIFS(Rezultatai!$J$2:$J$500,Rezultatai!$B$2:$B$500,$K73,Rezultatai!$A$2:$A$500,$C$2,Rezultatai!$D$2:$D$500,"&lt;&gt;Papildomi (R+)")+MIN(SUMIFS(Rezultatai!$J$2:$J$500,Rezultatai!$B$2:$B$500,$K73,Rezultatai!$A$2:$A$500,$C$2,Rezultatai!$D$2:$D$500,"Papildomi (R+)"),0.15*(SUMIFS(Rezultatai!$J$2:$J$500,Rezultatai!$B$2:$B$500,$K73,Rezultatai!$A$2:$A$500,$C$2,Rezultatai!$D$2:$D$500,"&lt;&gt;Papildomi (R+)"))))*MIN(550,450+(1/35)*(SUMIFS(Parametrai!$B$2:$B$40,Parametrai!$A$2:$A$40,$C$2)-2500)))</f>
        <v>0</v>
      </c>
      <c r="P73" s="18">
        <f t="shared" si="25"/>
        <v>0</v>
      </c>
      <c r="Q73" s="17">
        <f t="shared" si="26"/>
        <v>23</v>
      </c>
      <c r="R73" s="17">
        <f>IF($K73="","",IF($F$2="Pilotas",SUMPRODUCT(($K$6:$K$105&lt;&gt;"")*($K$6:$K$105&lt;$K73))+COUNTIF($K$6:$K73,$K73),IF($F$2="Klubas",SUMPRODUCT(($K$6:$K$105&lt;&gt;"")*($L$6:$L$105&lt;$L73))+SUMPRODUCT(($K$6:$K$105&lt;&gt;"")*($L$6:$L$105=$L73)*($Q$6:$Q$105&lt;$Q73))+COUNTIFS($L$6:$L73,$L73,$Q$6:$Q73,$Q73),IF($F$2="Nr",COUNTIF($K$6:$K73,"?*"),$Q73+COUNTIF($Q$6:$Q73,$Q73)-1))))</f>
        <v>68</v>
      </c>
    </row>
    <row r="74" spans="1:18" ht="15" customHeight="1" x14ac:dyDescent="0.3">
      <c r="A74" s="13">
        <f>IFERROR(MATCH(69,$R$6:$R$105,0),"")</f>
        <v>69</v>
      </c>
      <c r="B74" s="13" t="str">
        <f t="shared" si="18"/>
        <v>Vidas Berzinskas</v>
      </c>
      <c r="C74" s="13" t="str">
        <f t="shared" si="19"/>
        <v>Vilniaus Aeroklubas</v>
      </c>
      <c r="D74" s="14">
        <f t="shared" si="20"/>
        <v>0</v>
      </c>
      <c r="E74" s="14">
        <f t="shared" si="21"/>
        <v>0</v>
      </c>
      <c r="F74" s="14">
        <f t="shared" si="22"/>
        <v>0</v>
      </c>
      <c r="G74" s="15">
        <f t="shared" si="23"/>
        <v>0</v>
      </c>
      <c r="H74" s="16">
        <f t="shared" si="24"/>
        <v>23</v>
      </c>
      <c r="K74" s="17" t="str">
        <f>IF(Pilotai!B70="","",Pilotai!B70)</f>
        <v>Vidas Berzinskas</v>
      </c>
      <c r="L74" s="17" t="str">
        <f>IF($K74="","",Pilotai!C70)</f>
        <v>Vilniaus Aeroklubas</v>
      </c>
      <c r="M74" s="18">
        <f>IF($K74="","",(SUMIFS(Rezultatai!$J$2:$J$500,Rezultatai!$B$2:$B$500,$K74,Rezultatai!$A$2:$A$500,$C$2-2,Rezultatai!$D$2:$D$500,"&lt;&gt;Papildomi (R+)")+MIN(SUMIFS(Rezultatai!$J$2:$J$500,Rezultatai!$B$2:$B$500,$K74,Rezultatai!$A$2:$A$500,$C$2-2,Rezultatai!$D$2:$D$500,"Papildomi (R+)"),0.15*(SUMIFS(Rezultatai!$J$2:$J$500,Rezultatai!$B$2:$B$500,$K74,Rezultatai!$A$2:$A$500,$C$2-2,Rezultatai!$D$2:$D$500,"&lt;&gt;Papildomi (R+)"))))*MIN(425,375+(1/70)*(SUMIFS(Parametrai!$B$2:$B$40,Parametrai!$A$2:$A$40,$C$2-2)-2500)))</f>
        <v>0</v>
      </c>
      <c r="N74" s="18">
        <f>IF($K74="","",(SUMIFS(Rezultatai!$J$2:$J$500,Rezultatai!$B$2:$B$500,$K74,Rezultatai!$A$2:$A$500,$C$2-1,Rezultatai!$D$2:$D$500,"&lt;&gt;Papildomi (R+)")+MIN(SUMIFS(Rezultatai!$J$2:$J$500,Rezultatai!$B$2:$B$500,$K74,Rezultatai!$A$2:$A$500,$C$2-1,Rezultatai!$D$2:$D$500,"Papildomi (R+)"),0.15*(SUMIFS(Rezultatai!$J$2:$J$500,Rezultatai!$B$2:$B$500,$K74,Rezultatai!$A$2:$A$500,$C$2-1,Rezultatai!$D$2:$D$500,"&lt;&gt;Papildomi (R+)"))))*MIN(450,400+(1/70)*(SUMIFS(Parametrai!$B$2:$B$40,Parametrai!$A$2:$A$40,$C$2-1)-2500)))</f>
        <v>0</v>
      </c>
      <c r="O74" s="18">
        <f>IF($K74="","",(SUMIFS(Rezultatai!$J$2:$J$500,Rezultatai!$B$2:$B$500,$K74,Rezultatai!$A$2:$A$500,$C$2,Rezultatai!$D$2:$D$500,"&lt;&gt;Papildomi (R+)")+MIN(SUMIFS(Rezultatai!$J$2:$J$500,Rezultatai!$B$2:$B$500,$K74,Rezultatai!$A$2:$A$500,$C$2,Rezultatai!$D$2:$D$500,"Papildomi (R+)"),0.15*(SUMIFS(Rezultatai!$J$2:$J$500,Rezultatai!$B$2:$B$500,$K74,Rezultatai!$A$2:$A$500,$C$2,Rezultatai!$D$2:$D$500,"&lt;&gt;Papildomi (R+)"))))*MIN(550,450+(1/35)*(SUMIFS(Parametrai!$B$2:$B$40,Parametrai!$A$2:$A$40,$C$2)-2500)))</f>
        <v>0</v>
      </c>
      <c r="P74" s="18">
        <f t="shared" si="25"/>
        <v>0</v>
      </c>
      <c r="Q74" s="17">
        <f t="shared" si="26"/>
        <v>23</v>
      </c>
      <c r="R74" s="17">
        <f>IF($K74="","",IF($F$2="Pilotas",SUMPRODUCT(($K$6:$K$105&lt;&gt;"")*($K$6:$K$105&lt;$K74))+COUNTIF($K$6:$K74,$K74),IF($F$2="Klubas",SUMPRODUCT(($K$6:$K$105&lt;&gt;"")*($L$6:$L$105&lt;$L74))+SUMPRODUCT(($K$6:$K$105&lt;&gt;"")*($L$6:$L$105=$L74)*($Q$6:$Q$105&lt;$Q74))+COUNTIFS($L$6:$L74,$L74,$Q$6:$Q74,$Q74),IF($F$2="Nr",COUNTIF($K$6:$K74,"?*"),$Q74+COUNTIF($Q$6:$Q74,$Q74)-1))))</f>
        <v>69</v>
      </c>
    </row>
    <row r="75" spans="1:18" ht="15" customHeight="1" x14ac:dyDescent="0.3">
      <c r="A75" s="19" t="str">
        <f>IFERROR(MATCH(70,$R$6:$R$105,0),"")</f>
        <v/>
      </c>
      <c r="B75" s="19" t="str">
        <f t="shared" si="18"/>
        <v/>
      </c>
      <c r="C75" s="19" t="str">
        <f t="shared" si="19"/>
        <v/>
      </c>
      <c r="D75" s="14" t="str">
        <f t="shared" si="20"/>
        <v/>
      </c>
      <c r="E75" s="14" t="str">
        <f t="shared" si="21"/>
        <v/>
      </c>
      <c r="F75" s="14" t="str">
        <f t="shared" si="22"/>
        <v/>
      </c>
      <c r="G75" s="20" t="str">
        <f t="shared" si="23"/>
        <v/>
      </c>
      <c r="H75" s="21" t="str">
        <f t="shared" si="24"/>
        <v/>
      </c>
      <c r="K75" s="17" t="str">
        <f>IF(Pilotai!B71="","",Pilotai!B71)</f>
        <v/>
      </c>
      <c r="L75" s="17" t="str">
        <f>IF($K75="","",Pilotai!C71)</f>
        <v/>
      </c>
      <c r="M75" s="18" t="str">
        <f>IF($K75="","",(SUMIFS(Rezultatai!$J$2:$J$500,Rezultatai!$B$2:$B$500,$K75,Rezultatai!$A$2:$A$500,$C$2-2,Rezultatai!$D$2:$D$500,"&lt;&gt;Papildomi (R+)")+MIN(SUMIFS(Rezultatai!$J$2:$J$500,Rezultatai!$B$2:$B$500,$K75,Rezultatai!$A$2:$A$500,$C$2-2,Rezultatai!$D$2:$D$500,"Papildomi (R+)"),0.15*(SUMIFS(Rezultatai!$J$2:$J$500,Rezultatai!$B$2:$B$500,$K75,Rezultatai!$A$2:$A$500,$C$2-2,Rezultatai!$D$2:$D$500,"&lt;&gt;Papildomi (R+)"))))*MIN(425,375+(1/70)*(SUMIFS(Parametrai!$B$2:$B$40,Parametrai!$A$2:$A$40,$C$2-2)-2500)))</f>
        <v/>
      </c>
      <c r="N75" s="18" t="str">
        <f>IF($K75="","",(SUMIFS(Rezultatai!$J$2:$J$500,Rezultatai!$B$2:$B$500,$K75,Rezultatai!$A$2:$A$500,$C$2-1,Rezultatai!$D$2:$D$500,"&lt;&gt;Papildomi (R+)")+MIN(SUMIFS(Rezultatai!$J$2:$J$500,Rezultatai!$B$2:$B$500,$K75,Rezultatai!$A$2:$A$500,$C$2-1,Rezultatai!$D$2:$D$500,"Papildomi (R+)"),0.15*(SUMIFS(Rezultatai!$J$2:$J$500,Rezultatai!$B$2:$B$500,$K75,Rezultatai!$A$2:$A$500,$C$2-1,Rezultatai!$D$2:$D$500,"&lt;&gt;Papildomi (R+)"))))*MIN(450,400+(1/70)*(SUMIFS(Parametrai!$B$2:$B$40,Parametrai!$A$2:$A$40,$C$2-1)-2500)))</f>
        <v/>
      </c>
      <c r="O75" s="18" t="str">
        <f>IF($K75="","",(SUMIFS(Rezultatai!$J$2:$J$500,Rezultatai!$B$2:$B$500,$K75,Rezultatai!$A$2:$A$500,$C$2,Rezultatai!$D$2:$D$500,"&lt;&gt;Papildomi (R+)")+MIN(SUMIFS(Rezultatai!$J$2:$J$500,Rezultatai!$B$2:$B$500,$K75,Rezultatai!$A$2:$A$500,$C$2,Rezultatai!$D$2:$D$500,"Papildomi (R+)"),0.15*(SUMIFS(Rezultatai!$J$2:$J$500,Rezultatai!$B$2:$B$500,$K75,Rezultatai!$A$2:$A$500,$C$2,Rezultatai!$D$2:$D$500,"&lt;&gt;Papildomi (R+)"))))*MIN(550,450+(1/35)*(SUMIFS(Parametrai!$B$2:$B$40,Parametrai!$A$2:$A$40,$C$2)-2500)))</f>
        <v/>
      </c>
      <c r="P75" s="18" t="str">
        <f t="shared" si="25"/>
        <v/>
      </c>
      <c r="Q75" s="17" t="str">
        <f t="shared" si="26"/>
        <v/>
      </c>
      <c r="R75" s="17" t="str">
        <f>IF($K75="","",IF($F$2="Pilotas",SUMPRODUCT(($K$6:$K$105&lt;&gt;"")*($K$6:$K$105&lt;$K75))+COUNTIF($K$6:$K75,$K75),IF($F$2="Klubas",SUMPRODUCT(($K$6:$K$105&lt;&gt;"")*($L$6:$L$105&lt;$L75))+SUMPRODUCT(($K$6:$K$105&lt;&gt;"")*($L$6:$L$105=$L75)*($Q$6:$Q$105&lt;$Q75))+COUNTIFS($L$6:$L75,$L75,$Q$6:$Q75,$Q75),IF($F$2="Nr",COUNTIF($K$6:$K75,"?*"),$Q75+COUNTIF($Q$6:$Q75,$Q75)-1))))</f>
        <v/>
      </c>
    </row>
    <row r="76" spans="1:18" ht="15" customHeight="1" x14ac:dyDescent="0.3">
      <c r="A76" s="19" t="str">
        <f>IFERROR(MATCH(71,$R$6:$R$105,0),"")</f>
        <v/>
      </c>
      <c r="B76" s="19" t="str">
        <f t="shared" si="18"/>
        <v/>
      </c>
      <c r="C76" s="19" t="str">
        <f t="shared" si="19"/>
        <v/>
      </c>
      <c r="D76" s="14" t="str">
        <f t="shared" si="20"/>
        <v/>
      </c>
      <c r="E76" s="14" t="str">
        <f t="shared" si="21"/>
        <v/>
      </c>
      <c r="F76" s="14" t="str">
        <f t="shared" si="22"/>
        <v/>
      </c>
      <c r="G76" s="20" t="str">
        <f t="shared" si="23"/>
        <v/>
      </c>
      <c r="H76" s="21" t="str">
        <f t="shared" si="24"/>
        <v/>
      </c>
      <c r="K76" s="17" t="str">
        <f>IF(Pilotai!B72="","",Pilotai!B72)</f>
        <v/>
      </c>
      <c r="L76" s="17" t="str">
        <f>IF($K76="","",Pilotai!C72)</f>
        <v/>
      </c>
      <c r="M76" s="18" t="str">
        <f>IF($K76="","",(SUMIFS(Rezultatai!$J$2:$J$500,Rezultatai!$B$2:$B$500,$K76,Rezultatai!$A$2:$A$500,$C$2-2,Rezultatai!$D$2:$D$500,"&lt;&gt;Papildomi (R+)")+MIN(SUMIFS(Rezultatai!$J$2:$J$500,Rezultatai!$B$2:$B$500,$K76,Rezultatai!$A$2:$A$500,$C$2-2,Rezultatai!$D$2:$D$500,"Papildomi (R+)"),0.15*(SUMIFS(Rezultatai!$J$2:$J$500,Rezultatai!$B$2:$B$500,$K76,Rezultatai!$A$2:$A$500,$C$2-2,Rezultatai!$D$2:$D$500,"&lt;&gt;Papildomi (R+)"))))*MIN(425,375+(1/70)*(SUMIFS(Parametrai!$B$2:$B$40,Parametrai!$A$2:$A$40,$C$2-2)-2500)))</f>
        <v/>
      </c>
      <c r="N76" s="18" t="str">
        <f>IF($K76="","",(SUMIFS(Rezultatai!$J$2:$J$500,Rezultatai!$B$2:$B$500,$K76,Rezultatai!$A$2:$A$500,$C$2-1,Rezultatai!$D$2:$D$500,"&lt;&gt;Papildomi (R+)")+MIN(SUMIFS(Rezultatai!$J$2:$J$500,Rezultatai!$B$2:$B$500,$K76,Rezultatai!$A$2:$A$500,$C$2-1,Rezultatai!$D$2:$D$500,"Papildomi (R+)"),0.15*(SUMIFS(Rezultatai!$J$2:$J$500,Rezultatai!$B$2:$B$500,$K76,Rezultatai!$A$2:$A$500,$C$2-1,Rezultatai!$D$2:$D$500,"&lt;&gt;Papildomi (R+)"))))*MIN(450,400+(1/70)*(SUMIFS(Parametrai!$B$2:$B$40,Parametrai!$A$2:$A$40,$C$2-1)-2500)))</f>
        <v/>
      </c>
      <c r="O76" s="18" t="str">
        <f>IF($K76="","",(SUMIFS(Rezultatai!$J$2:$J$500,Rezultatai!$B$2:$B$500,$K76,Rezultatai!$A$2:$A$500,$C$2,Rezultatai!$D$2:$D$500,"&lt;&gt;Papildomi (R+)")+MIN(SUMIFS(Rezultatai!$J$2:$J$500,Rezultatai!$B$2:$B$500,$K76,Rezultatai!$A$2:$A$500,$C$2,Rezultatai!$D$2:$D$500,"Papildomi (R+)"),0.15*(SUMIFS(Rezultatai!$J$2:$J$500,Rezultatai!$B$2:$B$500,$K76,Rezultatai!$A$2:$A$500,$C$2,Rezultatai!$D$2:$D$500,"&lt;&gt;Papildomi (R+)"))))*MIN(550,450+(1/35)*(SUMIFS(Parametrai!$B$2:$B$40,Parametrai!$A$2:$A$40,$C$2)-2500)))</f>
        <v/>
      </c>
      <c r="P76" s="18" t="str">
        <f t="shared" si="25"/>
        <v/>
      </c>
      <c r="Q76" s="17" t="str">
        <f t="shared" si="26"/>
        <v/>
      </c>
      <c r="R76" s="17" t="str">
        <f>IF($K76="","",IF($F$2="Pilotas",SUMPRODUCT(($K$6:$K$105&lt;&gt;"")*($K$6:$K$105&lt;$K76))+COUNTIF($K$6:$K76,$K76),IF($F$2="Klubas",SUMPRODUCT(($K$6:$K$105&lt;&gt;"")*($L$6:$L$105&lt;$L76))+SUMPRODUCT(($K$6:$K$105&lt;&gt;"")*($L$6:$L$105=$L76)*($Q$6:$Q$105&lt;$Q76))+COUNTIFS($L$6:$L76,$L76,$Q$6:$Q76,$Q76),IF($F$2="Nr",COUNTIF($K$6:$K76,"?*"),$Q76+COUNTIF($Q$6:$Q76,$Q76)-1))))</f>
        <v/>
      </c>
    </row>
    <row r="77" spans="1:18" ht="15" customHeight="1" x14ac:dyDescent="0.3">
      <c r="A77" s="19" t="str">
        <f>IFERROR(MATCH(72,$R$6:$R$105,0),"")</f>
        <v/>
      </c>
      <c r="B77" s="19" t="str">
        <f t="shared" si="18"/>
        <v/>
      </c>
      <c r="C77" s="19" t="str">
        <f t="shared" si="19"/>
        <v/>
      </c>
      <c r="D77" s="14" t="str">
        <f t="shared" si="20"/>
        <v/>
      </c>
      <c r="E77" s="14" t="str">
        <f t="shared" si="21"/>
        <v/>
      </c>
      <c r="F77" s="14" t="str">
        <f t="shared" si="22"/>
        <v/>
      </c>
      <c r="G77" s="20" t="str">
        <f t="shared" si="23"/>
        <v/>
      </c>
      <c r="H77" s="21" t="str">
        <f t="shared" si="24"/>
        <v/>
      </c>
      <c r="K77" s="17" t="str">
        <f>IF(Pilotai!B73="","",Pilotai!B73)</f>
        <v/>
      </c>
      <c r="L77" s="17" t="str">
        <f>IF($K77="","",Pilotai!C73)</f>
        <v/>
      </c>
      <c r="M77" s="18" t="str">
        <f>IF($K77="","",(SUMIFS(Rezultatai!$J$2:$J$500,Rezultatai!$B$2:$B$500,$K77,Rezultatai!$A$2:$A$500,$C$2-2,Rezultatai!$D$2:$D$500,"&lt;&gt;Papildomi (R+)")+MIN(SUMIFS(Rezultatai!$J$2:$J$500,Rezultatai!$B$2:$B$500,$K77,Rezultatai!$A$2:$A$500,$C$2-2,Rezultatai!$D$2:$D$500,"Papildomi (R+)"),0.15*(SUMIFS(Rezultatai!$J$2:$J$500,Rezultatai!$B$2:$B$500,$K77,Rezultatai!$A$2:$A$500,$C$2-2,Rezultatai!$D$2:$D$500,"&lt;&gt;Papildomi (R+)"))))*MIN(425,375+(1/70)*(SUMIFS(Parametrai!$B$2:$B$40,Parametrai!$A$2:$A$40,$C$2-2)-2500)))</f>
        <v/>
      </c>
      <c r="N77" s="18" t="str">
        <f>IF($K77="","",(SUMIFS(Rezultatai!$J$2:$J$500,Rezultatai!$B$2:$B$500,$K77,Rezultatai!$A$2:$A$500,$C$2-1,Rezultatai!$D$2:$D$500,"&lt;&gt;Papildomi (R+)")+MIN(SUMIFS(Rezultatai!$J$2:$J$500,Rezultatai!$B$2:$B$500,$K77,Rezultatai!$A$2:$A$500,$C$2-1,Rezultatai!$D$2:$D$500,"Papildomi (R+)"),0.15*(SUMIFS(Rezultatai!$J$2:$J$500,Rezultatai!$B$2:$B$500,$K77,Rezultatai!$A$2:$A$500,$C$2-1,Rezultatai!$D$2:$D$500,"&lt;&gt;Papildomi (R+)"))))*MIN(450,400+(1/70)*(SUMIFS(Parametrai!$B$2:$B$40,Parametrai!$A$2:$A$40,$C$2-1)-2500)))</f>
        <v/>
      </c>
      <c r="O77" s="18" t="str">
        <f>IF($K77="","",(SUMIFS(Rezultatai!$J$2:$J$500,Rezultatai!$B$2:$B$500,$K77,Rezultatai!$A$2:$A$500,$C$2,Rezultatai!$D$2:$D$500,"&lt;&gt;Papildomi (R+)")+MIN(SUMIFS(Rezultatai!$J$2:$J$500,Rezultatai!$B$2:$B$500,$K77,Rezultatai!$A$2:$A$500,$C$2,Rezultatai!$D$2:$D$500,"Papildomi (R+)"),0.15*(SUMIFS(Rezultatai!$J$2:$J$500,Rezultatai!$B$2:$B$500,$K77,Rezultatai!$A$2:$A$500,$C$2,Rezultatai!$D$2:$D$500,"&lt;&gt;Papildomi (R+)"))))*MIN(550,450+(1/35)*(SUMIFS(Parametrai!$B$2:$B$40,Parametrai!$A$2:$A$40,$C$2)-2500)))</f>
        <v/>
      </c>
      <c r="P77" s="18" t="str">
        <f t="shared" si="25"/>
        <v/>
      </c>
      <c r="Q77" s="17" t="str">
        <f t="shared" si="26"/>
        <v/>
      </c>
      <c r="R77" s="17" t="str">
        <f>IF($K77="","",IF($F$2="Pilotas",SUMPRODUCT(($K$6:$K$105&lt;&gt;"")*($K$6:$K$105&lt;$K77))+COUNTIF($K$6:$K77,$K77),IF($F$2="Klubas",SUMPRODUCT(($K$6:$K$105&lt;&gt;"")*($L$6:$L$105&lt;$L77))+SUMPRODUCT(($K$6:$K$105&lt;&gt;"")*($L$6:$L$105=$L77)*($Q$6:$Q$105&lt;$Q77))+COUNTIFS($L$6:$L77,$L77,$Q$6:$Q77,$Q77),IF($F$2="Nr",COUNTIF($K$6:$K77,"?*"),$Q77+COUNTIF($Q$6:$Q77,$Q77)-1))))</f>
        <v/>
      </c>
    </row>
    <row r="78" spans="1:18" ht="15" customHeight="1" x14ac:dyDescent="0.3">
      <c r="A78" s="19" t="str">
        <f>IFERROR(MATCH(73,$R$6:$R$105,0),"")</f>
        <v/>
      </c>
      <c r="B78" s="19" t="str">
        <f t="shared" si="18"/>
        <v/>
      </c>
      <c r="C78" s="19" t="str">
        <f t="shared" si="19"/>
        <v/>
      </c>
      <c r="D78" s="14" t="str">
        <f t="shared" si="20"/>
        <v/>
      </c>
      <c r="E78" s="14" t="str">
        <f t="shared" si="21"/>
        <v/>
      </c>
      <c r="F78" s="14" t="str">
        <f t="shared" si="22"/>
        <v/>
      </c>
      <c r="G78" s="20" t="str">
        <f t="shared" si="23"/>
        <v/>
      </c>
      <c r="H78" s="21" t="str">
        <f t="shared" si="24"/>
        <v/>
      </c>
      <c r="K78" s="17" t="str">
        <f>IF(Pilotai!B74="","",Pilotai!B74)</f>
        <v/>
      </c>
      <c r="L78" s="17" t="str">
        <f>IF($K78="","",Pilotai!C74)</f>
        <v/>
      </c>
      <c r="M78" s="18" t="str">
        <f>IF($K78="","",(SUMIFS(Rezultatai!$J$2:$J$500,Rezultatai!$B$2:$B$500,$K78,Rezultatai!$A$2:$A$500,$C$2-2,Rezultatai!$D$2:$D$500,"&lt;&gt;Papildomi (R+)")+MIN(SUMIFS(Rezultatai!$J$2:$J$500,Rezultatai!$B$2:$B$500,$K78,Rezultatai!$A$2:$A$500,$C$2-2,Rezultatai!$D$2:$D$500,"Papildomi (R+)"),0.15*(SUMIFS(Rezultatai!$J$2:$J$500,Rezultatai!$B$2:$B$500,$K78,Rezultatai!$A$2:$A$500,$C$2-2,Rezultatai!$D$2:$D$500,"&lt;&gt;Papildomi (R+)"))))*MIN(425,375+(1/70)*(SUMIFS(Parametrai!$B$2:$B$40,Parametrai!$A$2:$A$40,$C$2-2)-2500)))</f>
        <v/>
      </c>
      <c r="N78" s="18" t="str">
        <f>IF($K78="","",(SUMIFS(Rezultatai!$J$2:$J$500,Rezultatai!$B$2:$B$500,$K78,Rezultatai!$A$2:$A$500,$C$2-1,Rezultatai!$D$2:$D$500,"&lt;&gt;Papildomi (R+)")+MIN(SUMIFS(Rezultatai!$J$2:$J$500,Rezultatai!$B$2:$B$500,$K78,Rezultatai!$A$2:$A$500,$C$2-1,Rezultatai!$D$2:$D$500,"Papildomi (R+)"),0.15*(SUMIFS(Rezultatai!$J$2:$J$500,Rezultatai!$B$2:$B$500,$K78,Rezultatai!$A$2:$A$500,$C$2-1,Rezultatai!$D$2:$D$500,"&lt;&gt;Papildomi (R+)"))))*MIN(450,400+(1/70)*(SUMIFS(Parametrai!$B$2:$B$40,Parametrai!$A$2:$A$40,$C$2-1)-2500)))</f>
        <v/>
      </c>
      <c r="O78" s="18" t="str">
        <f>IF($K78="","",(SUMIFS(Rezultatai!$J$2:$J$500,Rezultatai!$B$2:$B$500,$K78,Rezultatai!$A$2:$A$500,$C$2,Rezultatai!$D$2:$D$500,"&lt;&gt;Papildomi (R+)")+MIN(SUMIFS(Rezultatai!$J$2:$J$500,Rezultatai!$B$2:$B$500,$K78,Rezultatai!$A$2:$A$500,$C$2,Rezultatai!$D$2:$D$500,"Papildomi (R+)"),0.15*(SUMIFS(Rezultatai!$J$2:$J$500,Rezultatai!$B$2:$B$500,$K78,Rezultatai!$A$2:$A$500,$C$2,Rezultatai!$D$2:$D$500,"&lt;&gt;Papildomi (R+)"))))*MIN(550,450+(1/35)*(SUMIFS(Parametrai!$B$2:$B$40,Parametrai!$A$2:$A$40,$C$2)-2500)))</f>
        <v/>
      </c>
      <c r="P78" s="18" t="str">
        <f t="shared" si="25"/>
        <v/>
      </c>
      <c r="Q78" s="17" t="str">
        <f t="shared" si="26"/>
        <v/>
      </c>
      <c r="R78" s="17" t="str">
        <f>IF($K78="","",IF($F$2="Pilotas",SUMPRODUCT(($K$6:$K$105&lt;&gt;"")*($K$6:$K$105&lt;$K78))+COUNTIF($K$6:$K78,$K78),IF($F$2="Klubas",SUMPRODUCT(($K$6:$K$105&lt;&gt;"")*($L$6:$L$105&lt;$L78))+SUMPRODUCT(($K$6:$K$105&lt;&gt;"")*($L$6:$L$105=$L78)*($Q$6:$Q$105&lt;$Q78))+COUNTIFS($L$6:$L78,$L78,$Q$6:$Q78,$Q78),IF($F$2="Nr",COUNTIF($K$6:$K78,"?*"),$Q78+COUNTIF($Q$6:$Q78,$Q78)-1))))</f>
        <v/>
      </c>
    </row>
    <row r="79" spans="1:18" ht="15" customHeight="1" x14ac:dyDescent="0.3">
      <c r="A79" s="19" t="str">
        <f>IFERROR(MATCH(74,$R$6:$R$105,0),"")</f>
        <v/>
      </c>
      <c r="B79" s="19" t="str">
        <f t="shared" si="18"/>
        <v/>
      </c>
      <c r="C79" s="19" t="str">
        <f t="shared" si="19"/>
        <v/>
      </c>
      <c r="D79" s="14" t="str">
        <f t="shared" si="20"/>
        <v/>
      </c>
      <c r="E79" s="14" t="str">
        <f t="shared" si="21"/>
        <v/>
      </c>
      <c r="F79" s="14" t="str">
        <f t="shared" si="22"/>
        <v/>
      </c>
      <c r="G79" s="20" t="str">
        <f t="shared" si="23"/>
        <v/>
      </c>
      <c r="H79" s="21" t="str">
        <f t="shared" si="24"/>
        <v/>
      </c>
      <c r="K79" s="17" t="str">
        <f>IF(Pilotai!B75="","",Pilotai!B75)</f>
        <v/>
      </c>
      <c r="L79" s="17" t="str">
        <f>IF($K79="","",Pilotai!C75)</f>
        <v/>
      </c>
      <c r="M79" s="18" t="str">
        <f>IF($K79="","",(SUMIFS(Rezultatai!$J$2:$J$500,Rezultatai!$B$2:$B$500,$K79,Rezultatai!$A$2:$A$500,$C$2-2,Rezultatai!$D$2:$D$500,"&lt;&gt;Papildomi (R+)")+MIN(SUMIFS(Rezultatai!$J$2:$J$500,Rezultatai!$B$2:$B$500,$K79,Rezultatai!$A$2:$A$500,$C$2-2,Rezultatai!$D$2:$D$500,"Papildomi (R+)"),0.15*(SUMIFS(Rezultatai!$J$2:$J$500,Rezultatai!$B$2:$B$500,$K79,Rezultatai!$A$2:$A$500,$C$2-2,Rezultatai!$D$2:$D$500,"&lt;&gt;Papildomi (R+)"))))*MIN(425,375+(1/70)*(SUMIFS(Parametrai!$B$2:$B$40,Parametrai!$A$2:$A$40,$C$2-2)-2500)))</f>
        <v/>
      </c>
      <c r="N79" s="18" t="str">
        <f>IF($K79="","",(SUMIFS(Rezultatai!$J$2:$J$500,Rezultatai!$B$2:$B$500,$K79,Rezultatai!$A$2:$A$500,$C$2-1,Rezultatai!$D$2:$D$500,"&lt;&gt;Papildomi (R+)")+MIN(SUMIFS(Rezultatai!$J$2:$J$500,Rezultatai!$B$2:$B$500,$K79,Rezultatai!$A$2:$A$500,$C$2-1,Rezultatai!$D$2:$D$500,"Papildomi (R+)"),0.15*(SUMIFS(Rezultatai!$J$2:$J$500,Rezultatai!$B$2:$B$500,$K79,Rezultatai!$A$2:$A$500,$C$2-1,Rezultatai!$D$2:$D$500,"&lt;&gt;Papildomi (R+)"))))*MIN(450,400+(1/70)*(SUMIFS(Parametrai!$B$2:$B$40,Parametrai!$A$2:$A$40,$C$2-1)-2500)))</f>
        <v/>
      </c>
      <c r="O79" s="18" t="str">
        <f>IF($K79="","",(SUMIFS(Rezultatai!$J$2:$J$500,Rezultatai!$B$2:$B$500,$K79,Rezultatai!$A$2:$A$500,$C$2,Rezultatai!$D$2:$D$500,"&lt;&gt;Papildomi (R+)")+MIN(SUMIFS(Rezultatai!$J$2:$J$500,Rezultatai!$B$2:$B$500,$K79,Rezultatai!$A$2:$A$500,$C$2,Rezultatai!$D$2:$D$500,"Papildomi (R+)"),0.15*(SUMIFS(Rezultatai!$J$2:$J$500,Rezultatai!$B$2:$B$500,$K79,Rezultatai!$A$2:$A$500,$C$2,Rezultatai!$D$2:$D$500,"&lt;&gt;Papildomi (R+)"))))*MIN(550,450+(1/35)*(SUMIFS(Parametrai!$B$2:$B$40,Parametrai!$A$2:$A$40,$C$2)-2500)))</f>
        <v/>
      </c>
      <c r="P79" s="18" t="str">
        <f t="shared" si="25"/>
        <v/>
      </c>
      <c r="Q79" s="17" t="str">
        <f t="shared" si="26"/>
        <v/>
      </c>
      <c r="R79" s="17" t="str">
        <f>IF($K79="","",IF($F$2="Pilotas",SUMPRODUCT(($K$6:$K$105&lt;&gt;"")*($K$6:$K$105&lt;$K79))+COUNTIF($K$6:$K79,$K79),IF($F$2="Klubas",SUMPRODUCT(($K$6:$K$105&lt;&gt;"")*($L$6:$L$105&lt;$L79))+SUMPRODUCT(($K$6:$K$105&lt;&gt;"")*($L$6:$L$105=$L79)*($Q$6:$Q$105&lt;$Q79))+COUNTIFS($L$6:$L79,$L79,$Q$6:$Q79,$Q79),IF($F$2="Nr",COUNTIF($K$6:$K79,"?*"),$Q79+COUNTIF($Q$6:$Q79,$Q79)-1))))</f>
        <v/>
      </c>
    </row>
    <row r="80" spans="1:18" ht="15" customHeight="1" x14ac:dyDescent="0.3">
      <c r="A80" s="19" t="str">
        <f>IFERROR(MATCH(75,$R$6:$R$105,0),"")</f>
        <v/>
      </c>
      <c r="B80" s="19" t="str">
        <f t="shared" si="18"/>
        <v/>
      </c>
      <c r="C80" s="19" t="str">
        <f t="shared" si="19"/>
        <v/>
      </c>
      <c r="D80" s="14" t="str">
        <f t="shared" si="20"/>
        <v/>
      </c>
      <c r="E80" s="14" t="str">
        <f t="shared" si="21"/>
        <v/>
      </c>
      <c r="F80" s="14" t="str">
        <f t="shared" si="22"/>
        <v/>
      </c>
      <c r="G80" s="20" t="str">
        <f t="shared" si="23"/>
        <v/>
      </c>
      <c r="H80" s="21" t="str">
        <f t="shared" si="24"/>
        <v/>
      </c>
      <c r="K80" s="17" t="str">
        <f>IF(Pilotai!B76="","",Pilotai!B76)</f>
        <v/>
      </c>
      <c r="L80" s="17" t="str">
        <f>IF($K80="","",Pilotai!C76)</f>
        <v/>
      </c>
      <c r="M80" s="18" t="str">
        <f>IF($K80="","",(SUMIFS(Rezultatai!$J$2:$J$500,Rezultatai!$B$2:$B$500,$K80,Rezultatai!$A$2:$A$500,$C$2-2,Rezultatai!$D$2:$D$500,"&lt;&gt;Papildomi (R+)")+MIN(SUMIFS(Rezultatai!$J$2:$J$500,Rezultatai!$B$2:$B$500,$K80,Rezultatai!$A$2:$A$500,$C$2-2,Rezultatai!$D$2:$D$500,"Papildomi (R+)"),0.15*(SUMIFS(Rezultatai!$J$2:$J$500,Rezultatai!$B$2:$B$500,$K80,Rezultatai!$A$2:$A$500,$C$2-2,Rezultatai!$D$2:$D$500,"&lt;&gt;Papildomi (R+)"))))*MIN(425,375+(1/70)*(SUMIFS(Parametrai!$B$2:$B$40,Parametrai!$A$2:$A$40,$C$2-2)-2500)))</f>
        <v/>
      </c>
      <c r="N80" s="18" t="str">
        <f>IF($K80="","",(SUMIFS(Rezultatai!$J$2:$J$500,Rezultatai!$B$2:$B$500,$K80,Rezultatai!$A$2:$A$500,$C$2-1,Rezultatai!$D$2:$D$500,"&lt;&gt;Papildomi (R+)")+MIN(SUMIFS(Rezultatai!$J$2:$J$500,Rezultatai!$B$2:$B$500,$K80,Rezultatai!$A$2:$A$500,$C$2-1,Rezultatai!$D$2:$D$500,"Papildomi (R+)"),0.15*(SUMIFS(Rezultatai!$J$2:$J$500,Rezultatai!$B$2:$B$500,$K80,Rezultatai!$A$2:$A$500,$C$2-1,Rezultatai!$D$2:$D$500,"&lt;&gt;Papildomi (R+)"))))*MIN(450,400+(1/70)*(SUMIFS(Parametrai!$B$2:$B$40,Parametrai!$A$2:$A$40,$C$2-1)-2500)))</f>
        <v/>
      </c>
      <c r="O80" s="18" t="str">
        <f>IF($K80="","",(SUMIFS(Rezultatai!$J$2:$J$500,Rezultatai!$B$2:$B$500,$K80,Rezultatai!$A$2:$A$500,$C$2,Rezultatai!$D$2:$D$500,"&lt;&gt;Papildomi (R+)")+MIN(SUMIFS(Rezultatai!$J$2:$J$500,Rezultatai!$B$2:$B$500,$K80,Rezultatai!$A$2:$A$500,$C$2,Rezultatai!$D$2:$D$500,"Papildomi (R+)"),0.15*(SUMIFS(Rezultatai!$J$2:$J$500,Rezultatai!$B$2:$B$500,$K80,Rezultatai!$A$2:$A$500,$C$2,Rezultatai!$D$2:$D$500,"&lt;&gt;Papildomi (R+)"))))*MIN(550,450+(1/35)*(SUMIFS(Parametrai!$B$2:$B$40,Parametrai!$A$2:$A$40,$C$2)-2500)))</f>
        <v/>
      </c>
      <c r="P80" s="18" t="str">
        <f t="shared" si="25"/>
        <v/>
      </c>
      <c r="Q80" s="17" t="str">
        <f t="shared" si="26"/>
        <v/>
      </c>
      <c r="R80" s="17" t="str">
        <f>IF($K80="","",IF($F$2="Pilotas",SUMPRODUCT(($K$6:$K$105&lt;&gt;"")*($K$6:$K$105&lt;$K80))+COUNTIF($K$6:$K80,$K80),IF($F$2="Klubas",SUMPRODUCT(($K$6:$K$105&lt;&gt;"")*($L$6:$L$105&lt;$L80))+SUMPRODUCT(($K$6:$K$105&lt;&gt;"")*($L$6:$L$105=$L80)*($Q$6:$Q$105&lt;$Q80))+COUNTIFS($L$6:$L80,$L80,$Q$6:$Q80,$Q80),IF($F$2="Nr",COUNTIF($K$6:$K80,"?*"),$Q80+COUNTIF($Q$6:$Q80,$Q80)-1))))</f>
        <v/>
      </c>
    </row>
    <row r="81" spans="1:18" ht="15" customHeight="1" x14ac:dyDescent="0.3">
      <c r="A81" s="19" t="str">
        <f>IFERROR(MATCH(76,$R$6:$R$105,0),"")</f>
        <v/>
      </c>
      <c r="B81" s="19" t="str">
        <f t="shared" si="18"/>
        <v/>
      </c>
      <c r="C81" s="19" t="str">
        <f t="shared" si="19"/>
        <v/>
      </c>
      <c r="D81" s="14" t="str">
        <f t="shared" si="20"/>
        <v/>
      </c>
      <c r="E81" s="14" t="str">
        <f t="shared" si="21"/>
        <v/>
      </c>
      <c r="F81" s="14" t="str">
        <f t="shared" si="22"/>
        <v/>
      </c>
      <c r="G81" s="20" t="str">
        <f t="shared" si="23"/>
        <v/>
      </c>
      <c r="H81" s="21" t="str">
        <f t="shared" si="24"/>
        <v/>
      </c>
      <c r="K81" s="17" t="str">
        <f>IF(Pilotai!B77="","",Pilotai!B77)</f>
        <v/>
      </c>
      <c r="L81" s="17" t="str">
        <f>IF($K81="","",Pilotai!C77)</f>
        <v/>
      </c>
      <c r="M81" s="18" t="str">
        <f>IF($K81="","",(SUMIFS(Rezultatai!$J$2:$J$500,Rezultatai!$B$2:$B$500,$K81,Rezultatai!$A$2:$A$500,$C$2-2,Rezultatai!$D$2:$D$500,"&lt;&gt;Papildomi (R+)")+MIN(SUMIFS(Rezultatai!$J$2:$J$500,Rezultatai!$B$2:$B$500,$K81,Rezultatai!$A$2:$A$500,$C$2-2,Rezultatai!$D$2:$D$500,"Papildomi (R+)"),0.15*(SUMIFS(Rezultatai!$J$2:$J$500,Rezultatai!$B$2:$B$500,$K81,Rezultatai!$A$2:$A$500,$C$2-2,Rezultatai!$D$2:$D$500,"&lt;&gt;Papildomi (R+)"))))*MIN(425,375+(1/70)*(SUMIFS(Parametrai!$B$2:$B$40,Parametrai!$A$2:$A$40,$C$2-2)-2500)))</f>
        <v/>
      </c>
      <c r="N81" s="18" t="str">
        <f>IF($K81="","",(SUMIFS(Rezultatai!$J$2:$J$500,Rezultatai!$B$2:$B$500,$K81,Rezultatai!$A$2:$A$500,$C$2-1,Rezultatai!$D$2:$D$500,"&lt;&gt;Papildomi (R+)")+MIN(SUMIFS(Rezultatai!$J$2:$J$500,Rezultatai!$B$2:$B$500,$K81,Rezultatai!$A$2:$A$500,$C$2-1,Rezultatai!$D$2:$D$500,"Papildomi (R+)"),0.15*(SUMIFS(Rezultatai!$J$2:$J$500,Rezultatai!$B$2:$B$500,$K81,Rezultatai!$A$2:$A$500,$C$2-1,Rezultatai!$D$2:$D$500,"&lt;&gt;Papildomi (R+)"))))*MIN(450,400+(1/70)*(SUMIFS(Parametrai!$B$2:$B$40,Parametrai!$A$2:$A$40,$C$2-1)-2500)))</f>
        <v/>
      </c>
      <c r="O81" s="18" t="str">
        <f>IF($K81="","",(SUMIFS(Rezultatai!$J$2:$J$500,Rezultatai!$B$2:$B$500,$K81,Rezultatai!$A$2:$A$500,$C$2,Rezultatai!$D$2:$D$500,"&lt;&gt;Papildomi (R+)")+MIN(SUMIFS(Rezultatai!$J$2:$J$500,Rezultatai!$B$2:$B$500,$K81,Rezultatai!$A$2:$A$500,$C$2,Rezultatai!$D$2:$D$500,"Papildomi (R+)"),0.15*(SUMIFS(Rezultatai!$J$2:$J$500,Rezultatai!$B$2:$B$500,$K81,Rezultatai!$A$2:$A$500,$C$2,Rezultatai!$D$2:$D$500,"&lt;&gt;Papildomi (R+)"))))*MIN(550,450+(1/35)*(SUMIFS(Parametrai!$B$2:$B$40,Parametrai!$A$2:$A$40,$C$2)-2500)))</f>
        <v/>
      </c>
      <c r="P81" s="18" t="str">
        <f t="shared" si="25"/>
        <v/>
      </c>
      <c r="Q81" s="17" t="str">
        <f t="shared" si="26"/>
        <v/>
      </c>
      <c r="R81" s="17" t="str">
        <f>IF($K81="","",IF($F$2="Pilotas",SUMPRODUCT(($K$6:$K$105&lt;&gt;"")*($K$6:$K$105&lt;$K81))+COUNTIF($K$6:$K81,$K81),IF($F$2="Klubas",SUMPRODUCT(($K$6:$K$105&lt;&gt;"")*($L$6:$L$105&lt;$L81))+SUMPRODUCT(($K$6:$K$105&lt;&gt;"")*($L$6:$L$105=$L81)*($Q$6:$Q$105&lt;$Q81))+COUNTIFS($L$6:$L81,$L81,$Q$6:$Q81,$Q81),IF($F$2="Nr",COUNTIF($K$6:$K81,"?*"),$Q81+COUNTIF($Q$6:$Q81,$Q81)-1))))</f>
        <v/>
      </c>
    </row>
    <row r="82" spans="1:18" ht="15" customHeight="1" x14ac:dyDescent="0.3">
      <c r="A82" s="19" t="str">
        <f>IFERROR(MATCH(77,$R$6:$R$105,0),"")</f>
        <v/>
      </c>
      <c r="B82" s="19" t="str">
        <f t="shared" si="18"/>
        <v/>
      </c>
      <c r="C82" s="19" t="str">
        <f t="shared" si="19"/>
        <v/>
      </c>
      <c r="D82" s="14" t="str">
        <f t="shared" si="20"/>
        <v/>
      </c>
      <c r="E82" s="14" t="str">
        <f t="shared" si="21"/>
        <v/>
      </c>
      <c r="F82" s="14" t="str">
        <f t="shared" si="22"/>
        <v/>
      </c>
      <c r="G82" s="20" t="str">
        <f t="shared" si="23"/>
        <v/>
      </c>
      <c r="H82" s="21" t="str">
        <f t="shared" si="24"/>
        <v/>
      </c>
      <c r="K82" s="17" t="str">
        <f>IF(Pilotai!B78="","",Pilotai!B78)</f>
        <v/>
      </c>
      <c r="L82" s="17" t="str">
        <f>IF($K82="","",Pilotai!C78)</f>
        <v/>
      </c>
      <c r="M82" s="18" t="str">
        <f>IF($K82="","",(SUMIFS(Rezultatai!$J$2:$J$500,Rezultatai!$B$2:$B$500,$K82,Rezultatai!$A$2:$A$500,$C$2-2,Rezultatai!$D$2:$D$500,"&lt;&gt;Papildomi (R+)")+MIN(SUMIFS(Rezultatai!$J$2:$J$500,Rezultatai!$B$2:$B$500,$K82,Rezultatai!$A$2:$A$500,$C$2-2,Rezultatai!$D$2:$D$500,"Papildomi (R+)"),0.15*(SUMIFS(Rezultatai!$J$2:$J$500,Rezultatai!$B$2:$B$500,$K82,Rezultatai!$A$2:$A$500,$C$2-2,Rezultatai!$D$2:$D$500,"&lt;&gt;Papildomi (R+)"))))*MIN(425,375+(1/70)*(SUMIFS(Parametrai!$B$2:$B$40,Parametrai!$A$2:$A$40,$C$2-2)-2500)))</f>
        <v/>
      </c>
      <c r="N82" s="18" t="str">
        <f>IF($K82="","",(SUMIFS(Rezultatai!$J$2:$J$500,Rezultatai!$B$2:$B$500,$K82,Rezultatai!$A$2:$A$500,$C$2-1,Rezultatai!$D$2:$D$500,"&lt;&gt;Papildomi (R+)")+MIN(SUMIFS(Rezultatai!$J$2:$J$500,Rezultatai!$B$2:$B$500,$K82,Rezultatai!$A$2:$A$500,$C$2-1,Rezultatai!$D$2:$D$500,"Papildomi (R+)"),0.15*(SUMIFS(Rezultatai!$J$2:$J$500,Rezultatai!$B$2:$B$500,$K82,Rezultatai!$A$2:$A$500,$C$2-1,Rezultatai!$D$2:$D$500,"&lt;&gt;Papildomi (R+)"))))*MIN(450,400+(1/70)*(SUMIFS(Parametrai!$B$2:$B$40,Parametrai!$A$2:$A$40,$C$2-1)-2500)))</f>
        <v/>
      </c>
      <c r="O82" s="18" t="str">
        <f>IF($K82="","",(SUMIFS(Rezultatai!$J$2:$J$500,Rezultatai!$B$2:$B$500,$K82,Rezultatai!$A$2:$A$500,$C$2,Rezultatai!$D$2:$D$500,"&lt;&gt;Papildomi (R+)")+MIN(SUMIFS(Rezultatai!$J$2:$J$500,Rezultatai!$B$2:$B$500,$K82,Rezultatai!$A$2:$A$500,$C$2,Rezultatai!$D$2:$D$500,"Papildomi (R+)"),0.15*(SUMIFS(Rezultatai!$J$2:$J$500,Rezultatai!$B$2:$B$500,$K82,Rezultatai!$A$2:$A$500,$C$2,Rezultatai!$D$2:$D$500,"&lt;&gt;Papildomi (R+)"))))*MIN(550,450+(1/35)*(SUMIFS(Parametrai!$B$2:$B$40,Parametrai!$A$2:$A$40,$C$2)-2500)))</f>
        <v/>
      </c>
      <c r="P82" s="18" t="str">
        <f t="shared" si="25"/>
        <v/>
      </c>
      <c r="Q82" s="17" t="str">
        <f t="shared" si="26"/>
        <v/>
      </c>
      <c r="R82" s="17" t="str">
        <f>IF($K82="","",IF($F$2="Pilotas",SUMPRODUCT(($K$6:$K$105&lt;&gt;"")*($K$6:$K$105&lt;$K82))+COUNTIF($K$6:$K82,$K82),IF($F$2="Klubas",SUMPRODUCT(($K$6:$K$105&lt;&gt;"")*($L$6:$L$105&lt;$L82))+SUMPRODUCT(($K$6:$K$105&lt;&gt;"")*($L$6:$L$105=$L82)*($Q$6:$Q$105&lt;$Q82))+COUNTIFS($L$6:$L82,$L82,$Q$6:$Q82,$Q82),IF($F$2="Nr",COUNTIF($K$6:$K82,"?*"),$Q82+COUNTIF($Q$6:$Q82,$Q82)-1))))</f>
        <v/>
      </c>
    </row>
    <row r="83" spans="1:18" ht="15" customHeight="1" x14ac:dyDescent="0.3">
      <c r="A83" s="19" t="str">
        <f>IFERROR(MATCH(78,$R$6:$R$105,0),"")</f>
        <v/>
      </c>
      <c r="B83" s="19" t="str">
        <f t="shared" si="18"/>
        <v/>
      </c>
      <c r="C83" s="19" t="str">
        <f t="shared" si="19"/>
        <v/>
      </c>
      <c r="D83" s="14" t="str">
        <f t="shared" si="20"/>
        <v/>
      </c>
      <c r="E83" s="14" t="str">
        <f t="shared" si="21"/>
        <v/>
      </c>
      <c r="F83" s="14" t="str">
        <f t="shared" si="22"/>
        <v/>
      </c>
      <c r="G83" s="20" t="str">
        <f t="shared" si="23"/>
        <v/>
      </c>
      <c r="H83" s="21" t="str">
        <f t="shared" si="24"/>
        <v/>
      </c>
      <c r="K83" s="17" t="str">
        <f>IF(Pilotai!B79="","",Pilotai!B79)</f>
        <v/>
      </c>
      <c r="L83" s="17" t="str">
        <f>IF($K83="","",Pilotai!C79)</f>
        <v/>
      </c>
      <c r="M83" s="18" t="str">
        <f>IF($K83="","",(SUMIFS(Rezultatai!$J$2:$J$500,Rezultatai!$B$2:$B$500,$K83,Rezultatai!$A$2:$A$500,$C$2-2,Rezultatai!$D$2:$D$500,"&lt;&gt;Papildomi (R+)")+MIN(SUMIFS(Rezultatai!$J$2:$J$500,Rezultatai!$B$2:$B$500,$K83,Rezultatai!$A$2:$A$500,$C$2-2,Rezultatai!$D$2:$D$500,"Papildomi (R+)"),0.15*(SUMIFS(Rezultatai!$J$2:$J$500,Rezultatai!$B$2:$B$500,$K83,Rezultatai!$A$2:$A$500,$C$2-2,Rezultatai!$D$2:$D$500,"&lt;&gt;Papildomi (R+)"))))*MIN(425,375+(1/70)*(SUMIFS(Parametrai!$B$2:$B$40,Parametrai!$A$2:$A$40,$C$2-2)-2500)))</f>
        <v/>
      </c>
      <c r="N83" s="18" t="str">
        <f>IF($K83="","",(SUMIFS(Rezultatai!$J$2:$J$500,Rezultatai!$B$2:$B$500,$K83,Rezultatai!$A$2:$A$500,$C$2-1,Rezultatai!$D$2:$D$500,"&lt;&gt;Papildomi (R+)")+MIN(SUMIFS(Rezultatai!$J$2:$J$500,Rezultatai!$B$2:$B$500,$K83,Rezultatai!$A$2:$A$500,$C$2-1,Rezultatai!$D$2:$D$500,"Papildomi (R+)"),0.15*(SUMIFS(Rezultatai!$J$2:$J$500,Rezultatai!$B$2:$B$500,$K83,Rezultatai!$A$2:$A$500,$C$2-1,Rezultatai!$D$2:$D$500,"&lt;&gt;Papildomi (R+)"))))*MIN(450,400+(1/70)*(SUMIFS(Parametrai!$B$2:$B$40,Parametrai!$A$2:$A$40,$C$2-1)-2500)))</f>
        <v/>
      </c>
      <c r="O83" s="18" t="str">
        <f>IF($K83="","",(SUMIFS(Rezultatai!$J$2:$J$500,Rezultatai!$B$2:$B$500,$K83,Rezultatai!$A$2:$A$500,$C$2,Rezultatai!$D$2:$D$500,"&lt;&gt;Papildomi (R+)")+MIN(SUMIFS(Rezultatai!$J$2:$J$500,Rezultatai!$B$2:$B$500,$K83,Rezultatai!$A$2:$A$500,$C$2,Rezultatai!$D$2:$D$500,"Papildomi (R+)"),0.15*(SUMIFS(Rezultatai!$J$2:$J$500,Rezultatai!$B$2:$B$500,$K83,Rezultatai!$A$2:$A$500,$C$2,Rezultatai!$D$2:$D$500,"&lt;&gt;Papildomi (R+)"))))*MIN(550,450+(1/35)*(SUMIFS(Parametrai!$B$2:$B$40,Parametrai!$A$2:$A$40,$C$2)-2500)))</f>
        <v/>
      </c>
      <c r="P83" s="18" t="str">
        <f t="shared" si="25"/>
        <v/>
      </c>
      <c r="Q83" s="17" t="str">
        <f t="shared" si="26"/>
        <v/>
      </c>
      <c r="R83" s="17" t="str">
        <f>IF($K83="","",IF($F$2="Pilotas",SUMPRODUCT(($K$6:$K$105&lt;&gt;"")*($K$6:$K$105&lt;$K83))+COUNTIF($K$6:$K83,$K83),IF($F$2="Klubas",SUMPRODUCT(($K$6:$K$105&lt;&gt;"")*($L$6:$L$105&lt;$L83))+SUMPRODUCT(($K$6:$K$105&lt;&gt;"")*($L$6:$L$105=$L83)*($Q$6:$Q$105&lt;$Q83))+COUNTIFS($L$6:$L83,$L83,$Q$6:$Q83,$Q83),IF($F$2="Nr",COUNTIF($K$6:$K83,"?*"),$Q83+COUNTIF($Q$6:$Q83,$Q83)-1))))</f>
        <v/>
      </c>
    </row>
    <row r="84" spans="1:18" ht="15" customHeight="1" x14ac:dyDescent="0.3">
      <c r="A84" s="19" t="str">
        <f>IFERROR(MATCH(79,$R$6:$R$105,0),"")</f>
        <v/>
      </c>
      <c r="B84" s="19" t="str">
        <f t="shared" si="18"/>
        <v/>
      </c>
      <c r="C84" s="19" t="str">
        <f t="shared" si="19"/>
        <v/>
      </c>
      <c r="D84" s="14" t="str">
        <f t="shared" si="20"/>
        <v/>
      </c>
      <c r="E84" s="14" t="str">
        <f t="shared" si="21"/>
        <v/>
      </c>
      <c r="F84" s="14" t="str">
        <f t="shared" si="22"/>
        <v/>
      </c>
      <c r="G84" s="20" t="str">
        <f t="shared" si="23"/>
        <v/>
      </c>
      <c r="H84" s="21" t="str">
        <f t="shared" si="24"/>
        <v/>
      </c>
      <c r="K84" s="17" t="str">
        <f>IF(Pilotai!B80="","",Pilotai!B80)</f>
        <v/>
      </c>
      <c r="L84" s="17" t="str">
        <f>IF($K84="","",Pilotai!C80)</f>
        <v/>
      </c>
      <c r="M84" s="18" t="str">
        <f>IF($K84="","",(SUMIFS(Rezultatai!$J$2:$J$500,Rezultatai!$B$2:$B$500,$K84,Rezultatai!$A$2:$A$500,$C$2-2,Rezultatai!$D$2:$D$500,"&lt;&gt;Papildomi (R+)")+MIN(SUMIFS(Rezultatai!$J$2:$J$500,Rezultatai!$B$2:$B$500,$K84,Rezultatai!$A$2:$A$500,$C$2-2,Rezultatai!$D$2:$D$500,"Papildomi (R+)"),0.15*(SUMIFS(Rezultatai!$J$2:$J$500,Rezultatai!$B$2:$B$500,$K84,Rezultatai!$A$2:$A$500,$C$2-2,Rezultatai!$D$2:$D$500,"&lt;&gt;Papildomi (R+)"))))*MIN(425,375+(1/70)*(SUMIFS(Parametrai!$B$2:$B$40,Parametrai!$A$2:$A$40,$C$2-2)-2500)))</f>
        <v/>
      </c>
      <c r="N84" s="18" t="str">
        <f>IF($K84="","",(SUMIFS(Rezultatai!$J$2:$J$500,Rezultatai!$B$2:$B$500,$K84,Rezultatai!$A$2:$A$500,$C$2-1,Rezultatai!$D$2:$D$500,"&lt;&gt;Papildomi (R+)")+MIN(SUMIFS(Rezultatai!$J$2:$J$500,Rezultatai!$B$2:$B$500,$K84,Rezultatai!$A$2:$A$500,$C$2-1,Rezultatai!$D$2:$D$500,"Papildomi (R+)"),0.15*(SUMIFS(Rezultatai!$J$2:$J$500,Rezultatai!$B$2:$B$500,$K84,Rezultatai!$A$2:$A$500,$C$2-1,Rezultatai!$D$2:$D$500,"&lt;&gt;Papildomi (R+)"))))*MIN(450,400+(1/70)*(SUMIFS(Parametrai!$B$2:$B$40,Parametrai!$A$2:$A$40,$C$2-1)-2500)))</f>
        <v/>
      </c>
      <c r="O84" s="18" t="str">
        <f>IF($K84="","",(SUMIFS(Rezultatai!$J$2:$J$500,Rezultatai!$B$2:$B$500,$K84,Rezultatai!$A$2:$A$500,$C$2,Rezultatai!$D$2:$D$500,"&lt;&gt;Papildomi (R+)")+MIN(SUMIFS(Rezultatai!$J$2:$J$500,Rezultatai!$B$2:$B$500,$K84,Rezultatai!$A$2:$A$500,$C$2,Rezultatai!$D$2:$D$500,"Papildomi (R+)"),0.15*(SUMIFS(Rezultatai!$J$2:$J$500,Rezultatai!$B$2:$B$500,$K84,Rezultatai!$A$2:$A$500,$C$2,Rezultatai!$D$2:$D$500,"&lt;&gt;Papildomi (R+)"))))*MIN(550,450+(1/35)*(SUMIFS(Parametrai!$B$2:$B$40,Parametrai!$A$2:$A$40,$C$2)-2500)))</f>
        <v/>
      </c>
      <c r="P84" s="18" t="str">
        <f t="shared" si="25"/>
        <v/>
      </c>
      <c r="Q84" s="17" t="str">
        <f t="shared" si="26"/>
        <v/>
      </c>
      <c r="R84" s="17" t="str">
        <f>IF($K84="","",IF($F$2="Pilotas",SUMPRODUCT(($K$6:$K$105&lt;&gt;"")*($K$6:$K$105&lt;$K84))+COUNTIF($K$6:$K84,$K84),IF($F$2="Klubas",SUMPRODUCT(($K$6:$K$105&lt;&gt;"")*($L$6:$L$105&lt;$L84))+SUMPRODUCT(($K$6:$K$105&lt;&gt;"")*($L$6:$L$105=$L84)*($Q$6:$Q$105&lt;$Q84))+COUNTIFS($L$6:$L84,$L84,$Q$6:$Q84,$Q84),IF($F$2="Nr",COUNTIF($K$6:$K84,"?*"),$Q84+COUNTIF($Q$6:$Q84,$Q84)-1))))</f>
        <v/>
      </c>
    </row>
    <row r="85" spans="1:18" ht="15" customHeight="1" x14ac:dyDescent="0.3">
      <c r="A85" s="19" t="str">
        <f>IFERROR(MATCH(80,$R$6:$R$105,0),"")</f>
        <v/>
      </c>
      <c r="B85" s="19" t="str">
        <f t="shared" si="18"/>
        <v/>
      </c>
      <c r="C85" s="19" t="str">
        <f t="shared" si="19"/>
        <v/>
      </c>
      <c r="D85" s="14" t="str">
        <f t="shared" si="20"/>
        <v/>
      </c>
      <c r="E85" s="14" t="str">
        <f t="shared" si="21"/>
        <v/>
      </c>
      <c r="F85" s="14" t="str">
        <f t="shared" si="22"/>
        <v/>
      </c>
      <c r="G85" s="20" t="str">
        <f t="shared" si="23"/>
        <v/>
      </c>
      <c r="H85" s="21" t="str">
        <f t="shared" si="24"/>
        <v/>
      </c>
      <c r="K85" s="17" t="str">
        <f>IF(Pilotai!B81="","",Pilotai!B81)</f>
        <v/>
      </c>
      <c r="L85" s="17" t="str">
        <f>IF($K85="","",Pilotai!C81)</f>
        <v/>
      </c>
      <c r="M85" s="18" t="str">
        <f>IF($K85="","",(SUMIFS(Rezultatai!$J$2:$J$500,Rezultatai!$B$2:$B$500,$K85,Rezultatai!$A$2:$A$500,$C$2-2,Rezultatai!$D$2:$D$500,"&lt;&gt;Papildomi (R+)")+MIN(SUMIFS(Rezultatai!$J$2:$J$500,Rezultatai!$B$2:$B$500,$K85,Rezultatai!$A$2:$A$500,$C$2-2,Rezultatai!$D$2:$D$500,"Papildomi (R+)"),0.15*(SUMIFS(Rezultatai!$J$2:$J$500,Rezultatai!$B$2:$B$500,$K85,Rezultatai!$A$2:$A$500,$C$2-2,Rezultatai!$D$2:$D$500,"&lt;&gt;Papildomi (R+)"))))*MIN(425,375+(1/70)*(SUMIFS(Parametrai!$B$2:$B$40,Parametrai!$A$2:$A$40,$C$2-2)-2500)))</f>
        <v/>
      </c>
      <c r="N85" s="18" t="str">
        <f>IF($K85="","",(SUMIFS(Rezultatai!$J$2:$J$500,Rezultatai!$B$2:$B$500,$K85,Rezultatai!$A$2:$A$500,$C$2-1,Rezultatai!$D$2:$D$500,"&lt;&gt;Papildomi (R+)")+MIN(SUMIFS(Rezultatai!$J$2:$J$500,Rezultatai!$B$2:$B$500,$K85,Rezultatai!$A$2:$A$500,$C$2-1,Rezultatai!$D$2:$D$500,"Papildomi (R+)"),0.15*(SUMIFS(Rezultatai!$J$2:$J$500,Rezultatai!$B$2:$B$500,$K85,Rezultatai!$A$2:$A$500,$C$2-1,Rezultatai!$D$2:$D$500,"&lt;&gt;Papildomi (R+)"))))*MIN(450,400+(1/70)*(SUMIFS(Parametrai!$B$2:$B$40,Parametrai!$A$2:$A$40,$C$2-1)-2500)))</f>
        <v/>
      </c>
      <c r="O85" s="18" t="str">
        <f>IF($K85="","",(SUMIFS(Rezultatai!$J$2:$J$500,Rezultatai!$B$2:$B$500,$K85,Rezultatai!$A$2:$A$500,$C$2,Rezultatai!$D$2:$D$500,"&lt;&gt;Papildomi (R+)")+MIN(SUMIFS(Rezultatai!$J$2:$J$500,Rezultatai!$B$2:$B$500,$K85,Rezultatai!$A$2:$A$500,$C$2,Rezultatai!$D$2:$D$500,"Papildomi (R+)"),0.15*(SUMIFS(Rezultatai!$J$2:$J$500,Rezultatai!$B$2:$B$500,$K85,Rezultatai!$A$2:$A$500,$C$2,Rezultatai!$D$2:$D$500,"&lt;&gt;Papildomi (R+)"))))*MIN(550,450+(1/35)*(SUMIFS(Parametrai!$B$2:$B$40,Parametrai!$A$2:$A$40,$C$2)-2500)))</f>
        <v/>
      </c>
      <c r="P85" s="18" t="str">
        <f t="shared" si="25"/>
        <v/>
      </c>
      <c r="Q85" s="17" t="str">
        <f t="shared" si="26"/>
        <v/>
      </c>
      <c r="R85" s="17" t="str">
        <f>IF($K85="","",IF($F$2="Pilotas",SUMPRODUCT(($K$6:$K$105&lt;&gt;"")*($K$6:$K$105&lt;$K85))+COUNTIF($K$6:$K85,$K85),IF($F$2="Klubas",SUMPRODUCT(($K$6:$K$105&lt;&gt;"")*($L$6:$L$105&lt;$L85))+SUMPRODUCT(($K$6:$K$105&lt;&gt;"")*($L$6:$L$105=$L85)*($Q$6:$Q$105&lt;$Q85))+COUNTIFS($L$6:$L85,$L85,$Q$6:$Q85,$Q85),IF($F$2="Nr",COUNTIF($K$6:$K85,"?*"),$Q85+COUNTIF($Q$6:$Q85,$Q85)-1))))</f>
        <v/>
      </c>
    </row>
    <row r="86" spans="1:18" ht="15" customHeight="1" x14ac:dyDescent="0.3">
      <c r="A86" s="19" t="str">
        <f>IFERROR(MATCH(81,$R$6:$R$105,0),"")</f>
        <v/>
      </c>
      <c r="B86" s="19" t="str">
        <f t="shared" si="18"/>
        <v/>
      </c>
      <c r="C86" s="19" t="str">
        <f t="shared" si="19"/>
        <v/>
      </c>
      <c r="D86" s="14" t="str">
        <f t="shared" si="20"/>
        <v/>
      </c>
      <c r="E86" s="14" t="str">
        <f t="shared" si="21"/>
        <v/>
      </c>
      <c r="F86" s="14" t="str">
        <f t="shared" si="22"/>
        <v/>
      </c>
      <c r="G86" s="20" t="str">
        <f t="shared" si="23"/>
        <v/>
      </c>
      <c r="H86" s="21" t="str">
        <f t="shared" si="24"/>
        <v/>
      </c>
      <c r="K86" s="17" t="str">
        <f>IF(Pilotai!B82="","",Pilotai!B82)</f>
        <v/>
      </c>
      <c r="L86" s="17" t="str">
        <f>IF($K86="","",Pilotai!C82)</f>
        <v/>
      </c>
      <c r="M86" s="18" t="str">
        <f>IF($K86="","",(SUMIFS(Rezultatai!$J$2:$J$500,Rezultatai!$B$2:$B$500,$K86,Rezultatai!$A$2:$A$500,$C$2-2,Rezultatai!$D$2:$D$500,"&lt;&gt;Papildomi (R+)")+MIN(SUMIFS(Rezultatai!$J$2:$J$500,Rezultatai!$B$2:$B$500,$K86,Rezultatai!$A$2:$A$500,$C$2-2,Rezultatai!$D$2:$D$500,"Papildomi (R+)"),0.15*(SUMIFS(Rezultatai!$J$2:$J$500,Rezultatai!$B$2:$B$500,$K86,Rezultatai!$A$2:$A$500,$C$2-2,Rezultatai!$D$2:$D$500,"&lt;&gt;Papildomi (R+)"))))*MIN(425,375+(1/70)*(SUMIFS(Parametrai!$B$2:$B$40,Parametrai!$A$2:$A$40,$C$2-2)-2500)))</f>
        <v/>
      </c>
      <c r="N86" s="18" t="str">
        <f>IF($K86="","",(SUMIFS(Rezultatai!$J$2:$J$500,Rezultatai!$B$2:$B$500,$K86,Rezultatai!$A$2:$A$500,$C$2-1,Rezultatai!$D$2:$D$500,"&lt;&gt;Papildomi (R+)")+MIN(SUMIFS(Rezultatai!$J$2:$J$500,Rezultatai!$B$2:$B$500,$K86,Rezultatai!$A$2:$A$500,$C$2-1,Rezultatai!$D$2:$D$500,"Papildomi (R+)"),0.15*(SUMIFS(Rezultatai!$J$2:$J$500,Rezultatai!$B$2:$B$500,$K86,Rezultatai!$A$2:$A$500,$C$2-1,Rezultatai!$D$2:$D$500,"&lt;&gt;Papildomi (R+)"))))*MIN(450,400+(1/70)*(SUMIFS(Parametrai!$B$2:$B$40,Parametrai!$A$2:$A$40,$C$2-1)-2500)))</f>
        <v/>
      </c>
      <c r="O86" s="18" t="str">
        <f>IF($K86="","",(SUMIFS(Rezultatai!$J$2:$J$500,Rezultatai!$B$2:$B$500,$K86,Rezultatai!$A$2:$A$500,$C$2,Rezultatai!$D$2:$D$500,"&lt;&gt;Papildomi (R+)")+MIN(SUMIFS(Rezultatai!$J$2:$J$500,Rezultatai!$B$2:$B$500,$K86,Rezultatai!$A$2:$A$500,$C$2,Rezultatai!$D$2:$D$500,"Papildomi (R+)"),0.15*(SUMIFS(Rezultatai!$J$2:$J$500,Rezultatai!$B$2:$B$500,$K86,Rezultatai!$A$2:$A$500,$C$2,Rezultatai!$D$2:$D$500,"&lt;&gt;Papildomi (R+)"))))*MIN(550,450+(1/35)*(SUMIFS(Parametrai!$B$2:$B$40,Parametrai!$A$2:$A$40,$C$2)-2500)))</f>
        <v/>
      </c>
      <c r="P86" s="18" t="str">
        <f t="shared" si="25"/>
        <v/>
      </c>
      <c r="Q86" s="17" t="str">
        <f t="shared" si="26"/>
        <v/>
      </c>
      <c r="R86" s="17" t="str">
        <f>IF($K86="","",IF($F$2="Pilotas",SUMPRODUCT(($K$6:$K$105&lt;&gt;"")*($K$6:$K$105&lt;$K86))+COUNTIF($K$6:$K86,$K86),IF($F$2="Klubas",SUMPRODUCT(($K$6:$K$105&lt;&gt;"")*($L$6:$L$105&lt;$L86))+SUMPRODUCT(($K$6:$K$105&lt;&gt;"")*($L$6:$L$105=$L86)*($Q$6:$Q$105&lt;$Q86))+COUNTIFS($L$6:$L86,$L86,$Q$6:$Q86,$Q86),IF($F$2="Nr",COUNTIF($K$6:$K86,"?*"),$Q86+COUNTIF($Q$6:$Q86,$Q86)-1))))</f>
        <v/>
      </c>
    </row>
    <row r="87" spans="1:18" ht="15" customHeight="1" x14ac:dyDescent="0.3">
      <c r="A87" s="19" t="str">
        <f>IFERROR(MATCH(82,$R$6:$R$105,0),"")</f>
        <v/>
      </c>
      <c r="B87" s="19" t="str">
        <f t="shared" si="18"/>
        <v/>
      </c>
      <c r="C87" s="19" t="str">
        <f t="shared" si="19"/>
        <v/>
      </c>
      <c r="D87" s="14" t="str">
        <f t="shared" si="20"/>
        <v/>
      </c>
      <c r="E87" s="14" t="str">
        <f t="shared" si="21"/>
        <v/>
      </c>
      <c r="F87" s="14" t="str">
        <f t="shared" si="22"/>
        <v/>
      </c>
      <c r="G87" s="20" t="str">
        <f t="shared" si="23"/>
        <v/>
      </c>
      <c r="H87" s="21" t="str">
        <f t="shared" si="24"/>
        <v/>
      </c>
      <c r="K87" s="17" t="str">
        <f>IF(Pilotai!B83="","",Pilotai!B83)</f>
        <v/>
      </c>
      <c r="L87" s="17" t="str">
        <f>IF($K87="","",Pilotai!C83)</f>
        <v/>
      </c>
      <c r="M87" s="18" t="str">
        <f>IF($K87="","",(SUMIFS(Rezultatai!$J$2:$J$500,Rezultatai!$B$2:$B$500,$K87,Rezultatai!$A$2:$A$500,$C$2-2,Rezultatai!$D$2:$D$500,"&lt;&gt;Papildomi (R+)")+MIN(SUMIFS(Rezultatai!$J$2:$J$500,Rezultatai!$B$2:$B$500,$K87,Rezultatai!$A$2:$A$500,$C$2-2,Rezultatai!$D$2:$D$500,"Papildomi (R+)"),0.15*(SUMIFS(Rezultatai!$J$2:$J$500,Rezultatai!$B$2:$B$500,$K87,Rezultatai!$A$2:$A$500,$C$2-2,Rezultatai!$D$2:$D$500,"&lt;&gt;Papildomi (R+)"))))*MIN(425,375+(1/70)*(SUMIFS(Parametrai!$B$2:$B$40,Parametrai!$A$2:$A$40,$C$2-2)-2500)))</f>
        <v/>
      </c>
      <c r="N87" s="18" t="str">
        <f>IF($K87="","",(SUMIFS(Rezultatai!$J$2:$J$500,Rezultatai!$B$2:$B$500,$K87,Rezultatai!$A$2:$A$500,$C$2-1,Rezultatai!$D$2:$D$500,"&lt;&gt;Papildomi (R+)")+MIN(SUMIFS(Rezultatai!$J$2:$J$500,Rezultatai!$B$2:$B$500,$K87,Rezultatai!$A$2:$A$500,$C$2-1,Rezultatai!$D$2:$D$500,"Papildomi (R+)"),0.15*(SUMIFS(Rezultatai!$J$2:$J$500,Rezultatai!$B$2:$B$500,$K87,Rezultatai!$A$2:$A$500,$C$2-1,Rezultatai!$D$2:$D$500,"&lt;&gt;Papildomi (R+)"))))*MIN(450,400+(1/70)*(SUMIFS(Parametrai!$B$2:$B$40,Parametrai!$A$2:$A$40,$C$2-1)-2500)))</f>
        <v/>
      </c>
      <c r="O87" s="18" t="str">
        <f>IF($K87="","",(SUMIFS(Rezultatai!$J$2:$J$500,Rezultatai!$B$2:$B$500,$K87,Rezultatai!$A$2:$A$500,$C$2,Rezultatai!$D$2:$D$500,"&lt;&gt;Papildomi (R+)")+MIN(SUMIFS(Rezultatai!$J$2:$J$500,Rezultatai!$B$2:$B$500,$K87,Rezultatai!$A$2:$A$500,$C$2,Rezultatai!$D$2:$D$500,"Papildomi (R+)"),0.15*(SUMIFS(Rezultatai!$J$2:$J$500,Rezultatai!$B$2:$B$500,$K87,Rezultatai!$A$2:$A$500,$C$2,Rezultatai!$D$2:$D$500,"&lt;&gt;Papildomi (R+)"))))*MIN(550,450+(1/35)*(SUMIFS(Parametrai!$B$2:$B$40,Parametrai!$A$2:$A$40,$C$2)-2500)))</f>
        <v/>
      </c>
      <c r="P87" s="18" t="str">
        <f t="shared" si="25"/>
        <v/>
      </c>
      <c r="Q87" s="17" t="str">
        <f t="shared" si="26"/>
        <v/>
      </c>
      <c r="R87" s="17" t="str">
        <f>IF($K87="","",IF($F$2="Pilotas",SUMPRODUCT(($K$6:$K$105&lt;&gt;"")*($K$6:$K$105&lt;$K87))+COUNTIF($K$6:$K87,$K87),IF($F$2="Klubas",SUMPRODUCT(($K$6:$K$105&lt;&gt;"")*($L$6:$L$105&lt;$L87))+SUMPRODUCT(($K$6:$K$105&lt;&gt;"")*($L$6:$L$105=$L87)*($Q$6:$Q$105&lt;$Q87))+COUNTIFS($L$6:$L87,$L87,$Q$6:$Q87,$Q87),IF($F$2="Nr",COUNTIF($K$6:$K87,"?*"),$Q87+COUNTIF($Q$6:$Q87,$Q87)-1))))</f>
        <v/>
      </c>
    </row>
    <row r="88" spans="1:18" ht="15" customHeight="1" x14ac:dyDescent="0.3">
      <c r="A88" s="19" t="str">
        <f>IFERROR(MATCH(83,$R$6:$R$105,0),"")</f>
        <v/>
      </c>
      <c r="B88" s="19" t="str">
        <f t="shared" si="18"/>
        <v/>
      </c>
      <c r="C88" s="19" t="str">
        <f t="shared" si="19"/>
        <v/>
      </c>
      <c r="D88" s="14" t="str">
        <f t="shared" si="20"/>
        <v/>
      </c>
      <c r="E88" s="14" t="str">
        <f t="shared" si="21"/>
        <v/>
      </c>
      <c r="F88" s="14" t="str">
        <f t="shared" si="22"/>
        <v/>
      </c>
      <c r="G88" s="20" t="str">
        <f t="shared" si="23"/>
        <v/>
      </c>
      <c r="H88" s="21" t="str">
        <f t="shared" si="24"/>
        <v/>
      </c>
      <c r="K88" s="17" t="str">
        <f>IF(Pilotai!B84="","",Pilotai!B84)</f>
        <v/>
      </c>
      <c r="L88" s="17" t="str">
        <f>IF($K88="","",Pilotai!C84)</f>
        <v/>
      </c>
      <c r="M88" s="18" t="str">
        <f>IF($K88="","",(SUMIFS(Rezultatai!$J$2:$J$500,Rezultatai!$B$2:$B$500,$K88,Rezultatai!$A$2:$A$500,$C$2-2,Rezultatai!$D$2:$D$500,"&lt;&gt;Papildomi (R+)")+MIN(SUMIFS(Rezultatai!$J$2:$J$500,Rezultatai!$B$2:$B$500,$K88,Rezultatai!$A$2:$A$500,$C$2-2,Rezultatai!$D$2:$D$500,"Papildomi (R+)"),0.15*(SUMIFS(Rezultatai!$J$2:$J$500,Rezultatai!$B$2:$B$500,$K88,Rezultatai!$A$2:$A$500,$C$2-2,Rezultatai!$D$2:$D$500,"&lt;&gt;Papildomi (R+)"))))*MIN(425,375+(1/70)*(SUMIFS(Parametrai!$B$2:$B$40,Parametrai!$A$2:$A$40,$C$2-2)-2500)))</f>
        <v/>
      </c>
      <c r="N88" s="18" t="str">
        <f>IF($K88="","",(SUMIFS(Rezultatai!$J$2:$J$500,Rezultatai!$B$2:$B$500,$K88,Rezultatai!$A$2:$A$500,$C$2-1,Rezultatai!$D$2:$D$500,"&lt;&gt;Papildomi (R+)")+MIN(SUMIFS(Rezultatai!$J$2:$J$500,Rezultatai!$B$2:$B$500,$K88,Rezultatai!$A$2:$A$500,$C$2-1,Rezultatai!$D$2:$D$500,"Papildomi (R+)"),0.15*(SUMIFS(Rezultatai!$J$2:$J$500,Rezultatai!$B$2:$B$500,$K88,Rezultatai!$A$2:$A$500,$C$2-1,Rezultatai!$D$2:$D$500,"&lt;&gt;Papildomi (R+)"))))*MIN(450,400+(1/70)*(SUMIFS(Parametrai!$B$2:$B$40,Parametrai!$A$2:$A$40,$C$2-1)-2500)))</f>
        <v/>
      </c>
      <c r="O88" s="18" t="str">
        <f>IF($K88="","",(SUMIFS(Rezultatai!$J$2:$J$500,Rezultatai!$B$2:$B$500,$K88,Rezultatai!$A$2:$A$500,$C$2,Rezultatai!$D$2:$D$500,"&lt;&gt;Papildomi (R+)")+MIN(SUMIFS(Rezultatai!$J$2:$J$500,Rezultatai!$B$2:$B$500,$K88,Rezultatai!$A$2:$A$500,$C$2,Rezultatai!$D$2:$D$500,"Papildomi (R+)"),0.15*(SUMIFS(Rezultatai!$J$2:$J$500,Rezultatai!$B$2:$B$500,$K88,Rezultatai!$A$2:$A$500,$C$2,Rezultatai!$D$2:$D$500,"&lt;&gt;Papildomi (R+)"))))*MIN(550,450+(1/35)*(SUMIFS(Parametrai!$B$2:$B$40,Parametrai!$A$2:$A$40,$C$2)-2500)))</f>
        <v/>
      </c>
      <c r="P88" s="18" t="str">
        <f t="shared" si="25"/>
        <v/>
      </c>
      <c r="Q88" s="17" t="str">
        <f t="shared" si="26"/>
        <v/>
      </c>
      <c r="R88" s="17" t="str">
        <f>IF($K88="","",IF($F$2="Pilotas",SUMPRODUCT(($K$6:$K$105&lt;&gt;"")*($K$6:$K$105&lt;$K88))+COUNTIF($K$6:$K88,$K88),IF($F$2="Klubas",SUMPRODUCT(($K$6:$K$105&lt;&gt;"")*($L$6:$L$105&lt;$L88))+SUMPRODUCT(($K$6:$K$105&lt;&gt;"")*($L$6:$L$105=$L88)*($Q$6:$Q$105&lt;$Q88))+COUNTIFS($L$6:$L88,$L88,$Q$6:$Q88,$Q88),IF($F$2="Nr",COUNTIF($K$6:$K88,"?*"),$Q88+COUNTIF($Q$6:$Q88,$Q88)-1))))</f>
        <v/>
      </c>
    </row>
    <row r="89" spans="1:18" ht="15" customHeight="1" x14ac:dyDescent="0.3">
      <c r="A89" s="19" t="str">
        <f>IFERROR(MATCH(84,$R$6:$R$105,0),"")</f>
        <v/>
      </c>
      <c r="B89" s="19" t="str">
        <f t="shared" si="18"/>
        <v/>
      </c>
      <c r="C89" s="19" t="str">
        <f t="shared" si="19"/>
        <v/>
      </c>
      <c r="D89" s="14" t="str">
        <f t="shared" si="20"/>
        <v/>
      </c>
      <c r="E89" s="14" t="str">
        <f t="shared" si="21"/>
        <v/>
      </c>
      <c r="F89" s="14" t="str">
        <f t="shared" si="22"/>
        <v/>
      </c>
      <c r="G89" s="20" t="str">
        <f t="shared" si="23"/>
        <v/>
      </c>
      <c r="H89" s="21" t="str">
        <f t="shared" si="24"/>
        <v/>
      </c>
      <c r="K89" s="17" t="str">
        <f>IF(Pilotai!B85="","",Pilotai!B85)</f>
        <v/>
      </c>
      <c r="L89" s="17" t="str">
        <f>IF($K89="","",Pilotai!C85)</f>
        <v/>
      </c>
      <c r="M89" s="18" t="str">
        <f>IF($K89="","",(SUMIFS(Rezultatai!$J$2:$J$500,Rezultatai!$B$2:$B$500,$K89,Rezultatai!$A$2:$A$500,$C$2-2,Rezultatai!$D$2:$D$500,"&lt;&gt;Papildomi (R+)")+MIN(SUMIFS(Rezultatai!$J$2:$J$500,Rezultatai!$B$2:$B$500,$K89,Rezultatai!$A$2:$A$500,$C$2-2,Rezultatai!$D$2:$D$500,"Papildomi (R+)"),0.15*(SUMIFS(Rezultatai!$J$2:$J$500,Rezultatai!$B$2:$B$500,$K89,Rezultatai!$A$2:$A$500,$C$2-2,Rezultatai!$D$2:$D$500,"&lt;&gt;Papildomi (R+)"))))*MIN(425,375+(1/70)*(SUMIFS(Parametrai!$B$2:$B$40,Parametrai!$A$2:$A$40,$C$2-2)-2500)))</f>
        <v/>
      </c>
      <c r="N89" s="18" t="str">
        <f>IF($K89="","",(SUMIFS(Rezultatai!$J$2:$J$500,Rezultatai!$B$2:$B$500,$K89,Rezultatai!$A$2:$A$500,$C$2-1,Rezultatai!$D$2:$D$500,"&lt;&gt;Papildomi (R+)")+MIN(SUMIFS(Rezultatai!$J$2:$J$500,Rezultatai!$B$2:$B$500,$K89,Rezultatai!$A$2:$A$500,$C$2-1,Rezultatai!$D$2:$D$500,"Papildomi (R+)"),0.15*(SUMIFS(Rezultatai!$J$2:$J$500,Rezultatai!$B$2:$B$500,$K89,Rezultatai!$A$2:$A$500,$C$2-1,Rezultatai!$D$2:$D$500,"&lt;&gt;Papildomi (R+)"))))*MIN(450,400+(1/70)*(SUMIFS(Parametrai!$B$2:$B$40,Parametrai!$A$2:$A$40,$C$2-1)-2500)))</f>
        <v/>
      </c>
      <c r="O89" s="18" t="str">
        <f>IF($K89="","",(SUMIFS(Rezultatai!$J$2:$J$500,Rezultatai!$B$2:$B$500,$K89,Rezultatai!$A$2:$A$500,$C$2,Rezultatai!$D$2:$D$500,"&lt;&gt;Papildomi (R+)")+MIN(SUMIFS(Rezultatai!$J$2:$J$500,Rezultatai!$B$2:$B$500,$K89,Rezultatai!$A$2:$A$500,$C$2,Rezultatai!$D$2:$D$500,"Papildomi (R+)"),0.15*(SUMIFS(Rezultatai!$J$2:$J$500,Rezultatai!$B$2:$B$500,$K89,Rezultatai!$A$2:$A$500,$C$2,Rezultatai!$D$2:$D$500,"&lt;&gt;Papildomi (R+)"))))*MIN(550,450+(1/35)*(SUMIFS(Parametrai!$B$2:$B$40,Parametrai!$A$2:$A$40,$C$2)-2500)))</f>
        <v/>
      </c>
      <c r="P89" s="18" t="str">
        <f t="shared" si="25"/>
        <v/>
      </c>
      <c r="Q89" s="17" t="str">
        <f t="shared" si="26"/>
        <v/>
      </c>
      <c r="R89" s="17" t="str">
        <f>IF($K89="","",IF($F$2="Pilotas",SUMPRODUCT(($K$6:$K$105&lt;&gt;"")*($K$6:$K$105&lt;$K89))+COUNTIF($K$6:$K89,$K89),IF($F$2="Klubas",SUMPRODUCT(($K$6:$K$105&lt;&gt;"")*($L$6:$L$105&lt;$L89))+SUMPRODUCT(($K$6:$K$105&lt;&gt;"")*($L$6:$L$105=$L89)*($Q$6:$Q$105&lt;$Q89))+COUNTIFS($L$6:$L89,$L89,$Q$6:$Q89,$Q89),IF($F$2="Nr",COUNTIF($K$6:$K89,"?*"),$Q89+COUNTIF($Q$6:$Q89,$Q89)-1))))</f>
        <v/>
      </c>
    </row>
    <row r="90" spans="1:18" ht="15" customHeight="1" x14ac:dyDescent="0.3">
      <c r="A90" s="19" t="str">
        <f>IFERROR(MATCH(85,$R$6:$R$105,0),"")</f>
        <v/>
      </c>
      <c r="B90" s="19" t="str">
        <f t="shared" si="18"/>
        <v/>
      </c>
      <c r="C90" s="19" t="str">
        <f t="shared" si="19"/>
        <v/>
      </c>
      <c r="D90" s="14" t="str">
        <f t="shared" si="20"/>
        <v/>
      </c>
      <c r="E90" s="14" t="str">
        <f t="shared" si="21"/>
        <v/>
      </c>
      <c r="F90" s="14" t="str">
        <f t="shared" si="22"/>
        <v/>
      </c>
      <c r="G90" s="20" t="str">
        <f t="shared" si="23"/>
        <v/>
      </c>
      <c r="H90" s="21" t="str">
        <f t="shared" si="24"/>
        <v/>
      </c>
      <c r="K90" s="17" t="str">
        <f>IF(Pilotai!B86="","",Pilotai!B86)</f>
        <v/>
      </c>
      <c r="L90" s="17" t="str">
        <f>IF($K90="","",Pilotai!C86)</f>
        <v/>
      </c>
      <c r="M90" s="18" t="str">
        <f>IF($K90="","",(SUMIFS(Rezultatai!$J$2:$J$500,Rezultatai!$B$2:$B$500,$K90,Rezultatai!$A$2:$A$500,$C$2-2,Rezultatai!$D$2:$D$500,"&lt;&gt;Papildomi (R+)")+MIN(SUMIFS(Rezultatai!$J$2:$J$500,Rezultatai!$B$2:$B$500,$K90,Rezultatai!$A$2:$A$500,$C$2-2,Rezultatai!$D$2:$D$500,"Papildomi (R+)"),0.15*(SUMIFS(Rezultatai!$J$2:$J$500,Rezultatai!$B$2:$B$500,$K90,Rezultatai!$A$2:$A$500,$C$2-2,Rezultatai!$D$2:$D$500,"&lt;&gt;Papildomi (R+)"))))*MIN(425,375+(1/70)*(SUMIFS(Parametrai!$B$2:$B$40,Parametrai!$A$2:$A$40,$C$2-2)-2500)))</f>
        <v/>
      </c>
      <c r="N90" s="18" t="str">
        <f>IF($K90="","",(SUMIFS(Rezultatai!$J$2:$J$500,Rezultatai!$B$2:$B$500,$K90,Rezultatai!$A$2:$A$500,$C$2-1,Rezultatai!$D$2:$D$500,"&lt;&gt;Papildomi (R+)")+MIN(SUMIFS(Rezultatai!$J$2:$J$500,Rezultatai!$B$2:$B$500,$K90,Rezultatai!$A$2:$A$500,$C$2-1,Rezultatai!$D$2:$D$500,"Papildomi (R+)"),0.15*(SUMIFS(Rezultatai!$J$2:$J$500,Rezultatai!$B$2:$B$500,$K90,Rezultatai!$A$2:$A$500,$C$2-1,Rezultatai!$D$2:$D$500,"&lt;&gt;Papildomi (R+)"))))*MIN(450,400+(1/70)*(SUMIFS(Parametrai!$B$2:$B$40,Parametrai!$A$2:$A$40,$C$2-1)-2500)))</f>
        <v/>
      </c>
      <c r="O90" s="18" t="str">
        <f>IF($K90="","",(SUMIFS(Rezultatai!$J$2:$J$500,Rezultatai!$B$2:$B$500,$K90,Rezultatai!$A$2:$A$500,$C$2,Rezultatai!$D$2:$D$500,"&lt;&gt;Papildomi (R+)")+MIN(SUMIFS(Rezultatai!$J$2:$J$500,Rezultatai!$B$2:$B$500,$K90,Rezultatai!$A$2:$A$500,$C$2,Rezultatai!$D$2:$D$500,"Papildomi (R+)"),0.15*(SUMIFS(Rezultatai!$J$2:$J$500,Rezultatai!$B$2:$B$500,$K90,Rezultatai!$A$2:$A$500,$C$2,Rezultatai!$D$2:$D$500,"&lt;&gt;Papildomi (R+)"))))*MIN(550,450+(1/35)*(SUMIFS(Parametrai!$B$2:$B$40,Parametrai!$A$2:$A$40,$C$2)-2500)))</f>
        <v/>
      </c>
      <c r="P90" s="18" t="str">
        <f t="shared" si="25"/>
        <v/>
      </c>
      <c r="Q90" s="17" t="str">
        <f t="shared" si="26"/>
        <v/>
      </c>
      <c r="R90" s="17" t="str">
        <f>IF($K90="","",IF($F$2="Pilotas",SUMPRODUCT(($K$6:$K$105&lt;&gt;"")*($K$6:$K$105&lt;$K90))+COUNTIF($K$6:$K90,$K90),IF($F$2="Klubas",SUMPRODUCT(($K$6:$K$105&lt;&gt;"")*($L$6:$L$105&lt;$L90))+SUMPRODUCT(($K$6:$K$105&lt;&gt;"")*($L$6:$L$105=$L90)*($Q$6:$Q$105&lt;$Q90))+COUNTIFS($L$6:$L90,$L90,$Q$6:$Q90,$Q90),IF($F$2="Nr",COUNTIF($K$6:$K90,"?*"),$Q90+COUNTIF($Q$6:$Q90,$Q90)-1))))</f>
        <v/>
      </c>
    </row>
    <row r="91" spans="1:18" ht="15" customHeight="1" x14ac:dyDescent="0.3">
      <c r="A91" s="19" t="str">
        <f>IFERROR(MATCH(86,$R$6:$R$105,0),"")</f>
        <v/>
      </c>
      <c r="B91" s="19" t="str">
        <f t="shared" si="18"/>
        <v/>
      </c>
      <c r="C91" s="19" t="str">
        <f t="shared" si="19"/>
        <v/>
      </c>
      <c r="D91" s="14" t="str">
        <f t="shared" si="20"/>
        <v/>
      </c>
      <c r="E91" s="14" t="str">
        <f t="shared" si="21"/>
        <v/>
      </c>
      <c r="F91" s="14" t="str">
        <f t="shared" si="22"/>
        <v/>
      </c>
      <c r="G91" s="20" t="str">
        <f t="shared" si="23"/>
        <v/>
      </c>
      <c r="H91" s="21" t="str">
        <f t="shared" si="24"/>
        <v/>
      </c>
      <c r="K91" s="17" t="str">
        <f>IF(Pilotai!B87="","",Pilotai!B87)</f>
        <v/>
      </c>
      <c r="L91" s="17" t="str">
        <f>IF($K91="","",Pilotai!C87)</f>
        <v/>
      </c>
      <c r="M91" s="18" t="str">
        <f>IF($K91="","",(SUMIFS(Rezultatai!$J$2:$J$500,Rezultatai!$B$2:$B$500,$K91,Rezultatai!$A$2:$A$500,$C$2-2,Rezultatai!$D$2:$D$500,"&lt;&gt;Papildomi (R+)")+MIN(SUMIFS(Rezultatai!$J$2:$J$500,Rezultatai!$B$2:$B$500,$K91,Rezultatai!$A$2:$A$500,$C$2-2,Rezultatai!$D$2:$D$500,"Papildomi (R+)"),0.15*(SUMIFS(Rezultatai!$J$2:$J$500,Rezultatai!$B$2:$B$500,$K91,Rezultatai!$A$2:$A$500,$C$2-2,Rezultatai!$D$2:$D$500,"&lt;&gt;Papildomi (R+)"))))*MIN(425,375+(1/70)*(SUMIFS(Parametrai!$B$2:$B$40,Parametrai!$A$2:$A$40,$C$2-2)-2500)))</f>
        <v/>
      </c>
      <c r="N91" s="18" t="str">
        <f>IF($K91="","",(SUMIFS(Rezultatai!$J$2:$J$500,Rezultatai!$B$2:$B$500,$K91,Rezultatai!$A$2:$A$500,$C$2-1,Rezultatai!$D$2:$D$500,"&lt;&gt;Papildomi (R+)")+MIN(SUMIFS(Rezultatai!$J$2:$J$500,Rezultatai!$B$2:$B$500,$K91,Rezultatai!$A$2:$A$500,$C$2-1,Rezultatai!$D$2:$D$500,"Papildomi (R+)"),0.15*(SUMIFS(Rezultatai!$J$2:$J$500,Rezultatai!$B$2:$B$500,$K91,Rezultatai!$A$2:$A$500,$C$2-1,Rezultatai!$D$2:$D$500,"&lt;&gt;Papildomi (R+)"))))*MIN(450,400+(1/70)*(SUMIFS(Parametrai!$B$2:$B$40,Parametrai!$A$2:$A$40,$C$2-1)-2500)))</f>
        <v/>
      </c>
      <c r="O91" s="18" t="str">
        <f>IF($K91="","",(SUMIFS(Rezultatai!$J$2:$J$500,Rezultatai!$B$2:$B$500,$K91,Rezultatai!$A$2:$A$500,$C$2,Rezultatai!$D$2:$D$500,"&lt;&gt;Papildomi (R+)")+MIN(SUMIFS(Rezultatai!$J$2:$J$500,Rezultatai!$B$2:$B$500,$K91,Rezultatai!$A$2:$A$500,$C$2,Rezultatai!$D$2:$D$500,"Papildomi (R+)"),0.15*(SUMIFS(Rezultatai!$J$2:$J$500,Rezultatai!$B$2:$B$500,$K91,Rezultatai!$A$2:$A$500,$C$2,Rezultatai!$D$2:$D$500,"&lt;&gt;Papildomi (R+)"))))*MIN(550,450+(1/35)*(SUMIFS(Parametrai!$B$2:$B$40,Parametrai!$A$2:$A$40,$C$2)-2500)))</f>
        <v/>
      </c>
      <c r="P91" s="18" t="str">
        <f t="shared" si="25"/>
        <v/>
      </c>
      <c r="Q91" s="17" t="str">
        <f t="shared" si="26"/>
        <v/>
      </c>
      <c r="R91" s="17" t="str">
        <f>IF($K91="","",IF($F$2="Pilotas",SUMPRODUCT(($K$6:$K$105&lt;&gt;"")*($K$6:$K$105&lt;$K91))+COUNTIF($K$6:$K91,$K91),IF($F$2="Klubas",SUMPRODUCT(($K$6:$K$105&lt;&gt;"")*($L$6:$L$105&lt;$L91))+SUMPRODUCT(($K$6:$K$105&lt;&gt;"")*($L$6:$L$105=$L91)*($Q$6:$Q$105&lt;$Q91))+COUNTIFS($L$6:$L91,$L91,$Q$6:$Q91,$Q91),IF($F$2="Nr",COUNTIF($K$6:$K91,"?*"),$Q91+COUNTIF($Q$6:$Q91,$Q91)-1))))</f>
        <v/>
      </c>
    </row>
    <row r="92" spans="1:18" ht="15" customHeight="1" x14ac:dyDescent="0.3">
      <c r="A92" s="19" t="str">
        <f>IFERROR(MATCH(87,$R$6:$R$105,0),"")</f>
        <v/>
      </c>
      <c r="B92" s="19" t="str">
        <f t="shared" si="18"/>
        <v/>
      </c>
      <c r="C92" s="19" t="str">
        <f t="shared" si="19"/>
        <v/>
      </c>
      <c r="D92" s="14" t="str">
        <f t="shared" si="20"/>
        <v/>
      </c>
      <c r="E92" s="14" t="str">
        <f t="shared" si="21"/>
        <v/>
      </c>
      <c r="F92" s="14" t="str">
        <f t="shared" si="22"/>
        <v/>
      </c>
      <c r="G92" s="20" t="str">
        <f t="shared" si="23"/>
        <v/>
      </c>
      <c r="H92" s="21" t="str">
        <f t="shared" si="24"/>
        <v/>
      </c>
      <c r="K92" s="17" t="str">
        <f>IF(Pilotai!B88="","",Pilotai!B88)</f>
        <v/>
      </c>
      <c r="L92" s="17" t="str">
        <f>IF($K92="","",Pilotai!C88)</f>
        <v/>
      </c>
      <c r="M92" s="18" t="str">
        <f>IF($K92="","",(SUMIFS(Rezultatai!$J$2:$J$500,Rezultatai!$B$2:$B$500,$K92,Rezultatai!$A$2:$A$500,$C$2-2,Rezultatai!$D$2:$D$500,"&lt;&gt;Papildomi (R+)")+MIN(SUMIFS(Rezultatai!$J$2:$J$500,Rezultatai!$B$2:$B$500,$K92,Rezultatai!$A$2:$A$500,$C$2-2,Rezultatai!$D$2:$D$500,"Papildomi (R+)"),0.15*(SUMIFS(Rezultatai!$J$2:$J$500,Rezultatai!$B$2:$B$500,$K92,Rezultatai!$A$2:$A$500,$C$2-2,Rezultatai!$D$2:$D$500,"&lt;&gt;Papildomi (R+)"))))*MIN(425,375+(1/70)*(SUMIFS(Parametrai!$B$2:$B$40,Parametrai!$A$2:$A$40,$C$2-2)-2500)))</f>
        <v/>
      </c>
      <c r="N92" s="18" t="str">
        <f>IF($K92="","",(SUMIFS(Rezultatai!$J$2:$J$500,Rezultatai!$B$2:$B$500,$K92,Rezultatai!$A$2:$A$500,$C$2-1,Rezultatai!$D$2:$D$500,"&lt;&gt;Papildomi (R+)")+MIN(SUMIFS(Rezultatai!$J$2:$J$500,Rezultatai!$B$2:$B$500,$K92,Rezultatai!$A$2:$A$500,$C$2-1,Rezultatai!$D$2:$D$500,"Papildomi (R+)"),0.15*(SUMIFS(Rezultatai!$J$2:$J$500,Rezultatai!$B$2:$B$500,$K92,Rezultatai!$A$2:$A$500,$C$2-1,Rezultatai!$D$2:$D$500,"&lt;&gt;Papildomi (R+)"))))*MIN(450,400+(1/70)*(SUMIFS(Parametrai!$B$2:$B$40,Parametrai!$A$2:$A$40,$C$2-1)-2500)))</f>
        <v/>
      </c>
      <c r="O92" s="18" t="str">
        <f>IF($K92="","",(SUMIFS(Rezultatai!$J$2:$J$500,Rezultatai!$B$2:$B$500,$K92,Rezultatai!$A$2:$A$500,$C$2,Rezultatai!$D$2:$D$500,"&lt;&gt;Papildomi (R+)")+MIN(SUMIFS(Rezultatai!$J$2:$J$500,Rezultatai!$B$2:$B$500,$K92,Rezultatai!$A$2:$A$500,$C$2,Rezultatai!$D$2:$D$500,"Papildomi (R+)"),0.15*(SUMIFS(Rezultatai!$J$2:$J$500,Rezultatai!$B$2:$B$500,$K92,Rezultatai!$A$2:$A$500,$C$2,Rezultatai!$D$2:$D$500,"&lt;&gt;Papildomi (R+)"))))*MIN(550,450+(1/35)*(SUMIFS(Parametrai!$B$2:$B$40,Parametrai!$A$2:$A$40,$C$2)-2500)))</f>
        <v/>
      </c>
      <c r="P92" s="18" t="str">
        <f t="shared" si="25"/>
        <v/>
      </c>
      <c r="Q92" s="17" t="str">
        <f t="shared" si="26"/>
        <v/>
      </c>
      <c r="R92" s="17" t="str">
        <f>IF($K92="","",IF($F$2="Pilotas",SUMPRODUCT(($K$6:$K$105&lt;&gt;"")*($K$6:$K$105&lt;$K92))+COUNTIF($K$6:$K92,$K92),IF($F$2="Klubas",SUMPRODUCT(($K$6:$K$105&lt;&gt;"")*($L$6:$L$105&lt;$L92))+SUMPRODUCT(($K$6:$K$105&lt;&gt;"")*($L$6:$L$105=$L92)*($Q$6:$Q$105&lt;$Q92))+COUNTIFS($L$6:$L92,$L92,$Q$6:$Q92,$Q92),IF($F$2="Nr",COUNTIF($K$6:$K92,"?*"),$Q92+COUNTIF($Q$6:$Q92,$Q92)-1))))</f>
        <v/>
      </c>
    </row>
    <row r="93" spans="1:18" ht="15" customHeight="1" x14ac:dyDescent="0.3">
      <c r="A93" s="19" t="str">
        <f>IFERROR(MATCH(88,$R$6:$R$105,0),"")</f>
        <v/>
      </c>
      <c r="B93" s="19" t="str">
        <f t="shared" si="18"/>
        <v/>
      </c>
      <c r="C93" s="19" t="str">
        <f t="shared" si="19"/>
        <v/>
      </c>
      <c r="D93" s="14" t="str">
        <f t="shared" si="20"/>
        <v/>
      </c>
      <c r="E93" s="14" t="str">
        <f t="shared" si="21"/>
        <v/>
      </c>
      <c r="F93" s="14" t="str">
        <f t="shared" si="22"/>
        <v/>
      </c>
      <c r="G93" s="20" t="str">
        <f t="shared" si="23"/>
        <v/>
      </c>
      <c r="H93" s="21" t="str">
        <f t="shared" si="24"/>
        <v/>
      </c>
      <c r="K93" s="17" t="str">
        <f>IF(Pilotai!B89="","",Pilotai!B89)</f>
        <v/>
      </c>
      <c r="L93" s="17" t="str">
        <f>IF($K93="","",Pilotai!C89)</f>
        <v/>
      </c>
      <c r="M93" s="18" t="str">
        <f>IF($K93="","",(SUMIFS(Rezultatai!$J$2:$J$500,Rezultatai!$B$2:$B$500,$K93,Rezultatai!$A$2:$A$500,$C$2-2,Rezultatai!$D$2:$D$500,"&lt;&gt;Papildomi (R+)")+MIN(SUMIFS(Rezultatai!$J$2:$J$500,Rezultatai!$B$2:$B$500,$K93,Rezultatai!$A$2:$A$500,$C$2-2,Rezultatai!$D$2:$D$500,"Papildomi (R+)"),0.15*(SUMIFS(Rezultatai!$J$2:$J$500,Rezultatai!$B$2:$B$500,$K93,Rezultatai!$A$2:$A$500,$C$2-2,Rezultatai!$D$2:$D$500,"&lt;&gt;Papildomi (R+)"))))*MIN(425,375+(1/70)*(SUMIFS(Parametrai!$B$2:$B$40,Parametrai!$A$2:$A$40,$C$2-2)-2500)))</f>
        <v/>
      </c>
      <c r="N93" s="18" t="str">
        <f>IF($K93="","",(SUMIFS(Rezultatai!$J$2:$J$500,Rezultatai!$B$2:$B$500,$K93,Rezultatai!$A$2:$A$500,$C$2-1,Rezultatai!$D$2:$D$500,"&lt;&gt;Papildomi (R+)")+MIN(SUMIFS(Rezultatai!$J$2:$J$500,Rezultatai!$B$2:$B$500,$K93,Rezultatai!$A$2:$A$500,$C$2-1,Rezultatai!$D$2:$D$500,"Papildomi (R+)"),0.15*(SUMIFS(Rezultatai!$J$2:$J$500,Rezultatai!$B$2:$B$500,$K93,Rezultatai!$A$2:$A$500,$C$2-1,Rezultatai!$D$2:$D$500,"&lt;&gt;Papildomi (R+)"))))*MIN(450,400+(1/70)*(SUMIFS(Parametrai!$B$2:$B$40,Parametrai!$A$2:$A$40,$C$2-1)-2500)))</f>
        <v/>
      </c>
      <c r="O93" s="18" t="str">
        <f>IF($K93="","",(SUMIFS(Rezultatai!$J$2:$J$500,Rezultatai!$B$2:$B$500,$K93,Rezultatai!$A$2:$A$500,$C$2,Rezultatai!$D$2:$D$500,"&lt;&gt;Papildomi (R+)")+MIN(SUMIFS(Rezultatai!$J$2:$J$500,Rezultatai!$B$2:$B$500,$K93,Rezultatai!$A$2:$A$500,$C$2,Rezultatai!$D$2:$D$500,"Papildomi (R+)"),0.15*(SUMIFS(Rezultatai!$J$2:$J$500,Rezultatai!$B$2:$B$500,$K93,Rezultatai!$A$2:$A$500,$C$2,Rezultatai!$D$2:$D$500,"&lt;&gt;Papildomi (R+)"))))*MIN(550,450+(1/35)*(SUMIFS(Parametrai!$B$2:$B$40,Parametrai!$A$2:$A$40,$C$2)-2500)))</f>
        <v/>
      </c>
      <c r="P93" s="18" t="str">
        <f t="shared" si="25"/>
        <v/>
      </c>
      <c r="Q93" s="17" t="str">
        <f t="shared" si="26"/>
        <v/>
      </c>
      <c r="R93" s="17" t="str">
        <f>IF($K93="","",IF($F$2="Pilotas",SUMPRODUCT(($K$6:$K$105&lt;&gt;"")*($K$6:$K$105&lt;$K93))+COUNTIF($K$6:$K93,$K93),IF($F$2="Klubas",SUMPRODUCT(($K$6:$K$105&lt;&gt;"")*($L$6:$L$105&lt;$L93))+SUMPRODUCT(($K$6:$K$105&lt;&gt;"")*($L$6:$L$105=$L93)*($Q$6:$Q$105&lt;$Q93))+COUNTIFS($L$6:$L93,$L93,$Q$6:$Q93,$Q93),IF($F$2="Nr",COUNTIF($K$6:$K93,"?*"),$Q93+COUNTIF($Q$6:$Q93,$Q93)-1))))</f>
        <v/>
      </c>
    </row>
    <row r="94" spans="1:18" ht="15" customHeight="1" x14ac:dyDescent="0.3">
      <c r="A94" s="19" t="str">
        <f>IFERROR(MATCH(89,$R$6:$R$105,0),"")</f>
        <v/>
      </c>
      <c r="B94" s="19" t="str">
        <f t="shared" si="18"/>
        <v/>
      </c>
      <c r="C94" s="19" t="str">
        <f t="shared" si="19"/>
        <v/>
      </c>
      <c r="D94" s="14" t="str">
        <f t="shared" si="20"/>
        <v/>
      </c>
      <c r="E94" s="14" t="str">
        <f t="shared" si="21"/>
        <v/>
      </c>
      <c r="F94" s="14" t="str">
        <f t="shared" si="22"/>
        <v/>
      </c>
      <c r="G94" s="20" t="str">
        <f t="shared" si="23"/>
        <v/>
      </c>
      <c r="H94" s="21" t="str">
        <f t="shared" si="24"/>
        <v/>
      </c>
      <c r="K94" s="17" t="str">
        <f>IF(Pilotai!B90="","",Pilotai!B90)</f>
        <v/>
      </c>
      <c r="L94" s="17" t="str">
        <f>IF($K94="","",Pilotai!C90)</f>
        <v/>
      </c>
      <c r="M94" s="18" t="str">
        <f>IF($K94="","",(SUMIFS(Rezultatai!$J$2:$J$500,Rezultatai!$B$2:$B$500,$K94,Rezultatai!$A$2:$A$500,$C$2-2,Rezultatai!$D$2:$D$500,"&lt;&gt;Papildomi (R+)")+MIN(SUMIFS(Rezultatai!$J$2:$J$500,Rezultatai!$B$2:$B$500,$K94,Rezultatai!$A$2:$A$500,$C$2-2,Rezultatai!$D$2:$D$500,"Papildomi (R+)"),0.15*(SUMIFS(Rezultatai!$J$2:$J$500,Rezultatai!$B$2:$B$500,$K94,Rezultatai!$A$2:$A$500,$C$2-2,Rezultatai!$D$2:$D$500,"&lt;&gt;Papildomi (R+)"))))*MIN(425,375+(1/70)*(SUMIFS(Parametrai!$B$2:$B$40,Parametrai!$A$2:$A$40,$C$2-2)-2500)))</f>
        <v/>
      </c>
      <c r="N94" s="18" t="str">
        <f>IF($K94="","",(SUMIFS(Rezultatai!$J$2:$J$500,Rezultatai!$B$2:$B$500,$K94,Rezultatai!$A$2:$A$500,$C$2-1,Rezultatai!$D$2:$D$500,"&lt;&gt;Papildomi (R+)")+MIN(SUMIFS(Rezultatai!$J$2:$J$500,Rezultatai!$B$2:$B$500,$K94,Rezultatai!$A$2:$A$500,$C$2-1,Rezultatai!$D$2:$D$500,"Papildomi (R+)"),0.15*(SUMIFS(Rezultatai!$J$2:$J$500,Rezultatai!$B$2:$B$500,$K94,Rezultatai!$A$2:$A$500,$C$2-1,Rezultatai!$D$2:$D$500,"&lt;&gt;Papildomi (R+)"))))*MIN(450,400+(1/70)*(SUMIFS(Parametrai!$B$2:$B$40,Parametrai!$A$2:$A$40,$C$2-1)-2500)))</f>
        <v/>
      </c>
      <c r="O94" s="18" t="str">
        <f>IF($K94="","",(SUMIFS(Rezultatai!$J$2:$J$500,Rezultatai!$B$2:$B$500,$K94,Rezultatai!$A$2:$A$500,$C$2,Rezultatai!$D$2:$D$500,"&lt;&gt;Papildomi (R+)")+MIN(SUMIFS(Rezultatai!$J$2:$J$500,Rezultatai!$B$2:$B$500,$K94,Rezultatai!$A$2:$A$500,$C$2,Rezultatai!$D$2:$D$500,"Papildomi (R+)"),0.15*(SUMIFS(Rezultatai!$J$2:$J$500,Rezultatai!$B$2:$B$500,$K94,Rezultatai!$A$2:$A$500,$C$2,Rezultatai!$D$2:$D$500,"&lt;&gt;Papildomi (R+)"))))*MIN(550,450+(1/35)*(SUMIFS(Parametrai!$B$2:$B$40,Parametrai!$A$2:$A$40,$C$2)-2500)))</f>
        <v/>
      </c>
      <c r="P94" s="18" t="str">
        <f t="shared" si="25"/>
        <v/>
      </c>
      <c r="Q94" s="17" t="str">
        <f t="shared" si="26"/>
        <v/>
      </c>
      <c r="R94" s="17" t="str">
        <f>IF($K94="","",IF($F$2="Pilotas",SUMPRODUCT(($K$6:$K$105&lt;&gt;"")*($K$6:$K$105&lt;$K94))+COUNTIF($K$6:$K94,$K94),IF($F$2="Klubas",SUMPRODUCT(($K$6:$K$105&lt;&gt;"")*($L$6:$L$105&lt;$L94))+SUMPRODUCT(($K$6:$K$105&lt;&gt;"")*($L$6:$L$105=$L94)*($Q$6:$Q$105&lt;$Q94))+COUNTIFS($L$6:$L94,$L94,$Q$6:$Q94,$Q94),IF($F$2="Nr",COUNTIF($K$6:$K94,"?*"),$Q94+COUNTIF($Q$6:$Q94,$Q94)-1))))</f>
        <v/>
      </c>
    </row>
    <row r="95" spans="1:18" ht="15" customHeight="1" x14ac:dyDescent="0.3">
      <c r="A95" s="19" t="str">
        <f>IFERROR(MATCH(90,$R$6:$R$105,0),"")</f>
        <v/>
      </c>
      <c r="B95" s="19" t="str">
        <f t="shared" si="18"/>
        <v/>
      </c>
      <c r="C95" s="19" t="str">
        <f t="shared" si="19"/>
        <v/>
      </c>
      <c r="D95" s="14" t="str">
        <f t="shared" si="20"/>
        <v/>
      </c>
      <c r="E95" s="14" t="str">
        <f t="shared" si="21"/>
        <v/>
      </c>
      <c r="F95" s="14" t="str">
        <f t="shared" si="22"/>
        <v/>
      </c>
      <c r="G95" s="20" t="str">
        <f t="shared" si="23"/>
        <v/>
      </c>
      <c r="H95" s="21" t="str">
        <f t="shared" si="24"/>
        <v/>
      </c>
      <c r="K95" s="17" t="str">
        <f>IF(Pilotai!B91="","",Pilotai!B91)</f>
        <v/>
      </c>
      <c r="L95" s="17" t="str">
        <f>IF($K95="","",Pilotai!C91)</f>
        <v/>
      </c>
      <c r="M95" s="18" t="str">
        <f>IF($K95="","",(SUMIFS(Rezultatai!$J$2:$J$500,Rezultatai!$B$2:$B$500,$K95,Rezultatai!$A$2:$A$500,$C$2-2,Rezultatai!$D$2:$D$500,"&lt;&gt;Papildomi (R+)")+MIN(SUMIFS(Rezultatai!$J$2:$J$500,Rezultatai!$B$2:$B$500,$K95,Rezultatai!$A$2:$A$500,$C$2-2,Rezultatai!$D$2:$D$500,"Papildomi (R+)"),0.15*(SUMIFS(Rezultatai!$J$2:$J$500,Rezultatai!$B$2:$B$500,$K95,Rezultatai!$A$2:$A$500,$C$2-2,Rezultatai!$D$2:$D$500,"&lt;&gt;Papildomi (R+)"))))*MIN(425,375+(1/70)*(SUMIFS(Parametrai!$B$2:$B$40,Parametrai!$A$2:$A$40,$C$2-2)-2500)))</f>
        <v/>
      </c>
      <c r="N95" s="18" t="str">
        <f>IF($K95="","",(SUMIFS(Rezultatai!$J$2:$J$500,Rezultatai!$B$2:$B$500,$K95,Rezultatai!$A$2:$A$500,$C$2-1,Rezultatai!$D$2:$D$500,"&lt;&gt;Papildomi (R+)")+MIN(SUMIFS(Rezultatai!$J$2:$J$500,Rezultatai!$B$2:$B$500,$K95,Rezultatai!$A$2:$A$500,$C$2-1,Rezultatai!$D$2:$D$500,"Papildomi (R+)"),0.15*(SUMIFS(Rezultatai!$J$2:$J$500,Rezultatai!$B$2:$B$500,$K95,Rezultatai!$A$2:$A$500,$C$2-1,Rezultatai!$D$2:$D$500,"&lt;&gt;Papildomi (R+)"))))*MIN(450,400+(1/70)*(SUMIFS(Parametrai!$B$2:$B$40,Parametrai!$A$2:$A$40,$C$2-1)-2500)))</f>
        <v/>
      </c>
      <c r="O95" s="18" t="str">
        <f>IF($K95="","",(SUMIFS(Rezultatai!$J$2:$J$500,Rezultatai!$B$2:$B$500,$K95,Rezultatai!$A$2:$A$500,$C$2,Rezultatai!$D$2:$D$500,"&lt;&gt;Papildomi (R+)")+MIN(SUMIFS(Rezultatai!$J$2:$J$500,Rezultatai!$B$2:$B$500,$K95,Rezultatai!$A$2:$A$500,$C$2,Rezultatai!$D$2:$D$500,"Papildomi (R+)"),0.15*(SUMIFS(Rezultatai!$J$2:$J$500,Rezultatai!$B$2:$B$500,$K95,Rezultatai!$A$2:$A$500,$C$2,Rezultatai!$D$2:$D$500,"&lt;&gt;Papildomi (R+)"))))*MIN(550,450+(1/35)*(SUMIFS(Parametrai!$B$2:$B$40,Parametrai!$A$2:$A$40,$C$2)-2500)))</f>
        <v/>
      </c>
      <c r="P95" s="18" t="str">
        <f t="shared" si="25"/>
        <v/>
      </c>
      <c r="Q95" s="17" t="str">
        <f t="shared" si="26"/>
        <v/>
      </c>
      <c r="R95" s="17" t="str">
        <f>IF($K95="","",IF($F$2="Pilotas",SUMPRODUCT(($K$6:$K$105&lt;&gt;"")*($K$6:$K$105&lt;$K95))+COUNTIF($K$6:$K95,$K95),IF($F$2="Klubas",SUMPRODUCT(($K$6:$K$105&lt;&gt;"")*($L$6:$L$105&lt;$L95))+SUMPRODUCT(($K$6:$K$105&lt;&gt;"")*($L$6:$L$105=$L95)*($Q$6:$Q$105&lt;$Q95))+COUNTIFS($L$6:$L95,$L95,$Q$6:$Q95,$Q95),IF($F$2="Nr",COUNTIF($K$6:$K95,"?*"),$Q95+COUNTIF($Q$6:$Q95,$Q95)-1))))</f>
        <v/>
      </c>
    </row>
    <row r="96" spans="1:18" ht="15" customHeight="1" x14ac:dyDescent="0.3">
      <c r="A96" s="19" t="str">
        <f>IFERROR(MATCH(91,$R$6:$R$105,0),"")</f>
        <v/>
      </c>
      <c r="B96" s="19" t="str">
        <f t="shared" si="18"/>
        <v/>
      </c>
      <c r="C96" s="19" t="str">
        <f t="shared" si="19"/>
        <v/>
      </c>
      <c r="D96" s="14" t="str">
        <f t="shared" si="20"/>
        <v/>
      </c>
      <c r="E96" s="14" t="str">
        <f t="shared" si="21"/>
        <v/>
      </c>
      <c r="F96" s="14" t="str">
        <f t="shared" si="22"/>
        <v/>
      </c>
      <c r="G96" s="20" t="str">
        <f t="shared" si="23"/>
        <v/>
      </c>
      <c r="H96" s="21" t="str">
        <f t="shared" si="24"/>
        <v/>
      </c>
      <c r="K96" s="17" t="str">
        <f>IF(Pilotai!B92="","",Pilotai!B92)</f>
        <v/>
      </c>
      <c r="L96" s="17" t="str">
        <f>IF($K96="","",Pilotai!C92)</f>
        <v/>
      </c>
      <c r="M96" s="18" t="str">
        <f>IF($K96="","",(SUMIFS(Rezultatai!$J$2:$J$500,Rezultatai!$B$2:$B$500,$K96,Rezultatai!$A$2:$A$500,$C$2-2,Rezultatai!$D$2:$D$500,"&lt;&gt;Papildomi (R+)")+MIN(SUMIFS(Rezultatai!$J$2:$J$500,Rezultatai!$B$2:$B$500,$K96,Rezultatai!$A$2:$A$500,$C$2-2,Rezultatai!$D$2:$D$500,"Papildomi (R+)"),0.15*(SUMIFS(Rezultatai!$J$2:$J$500,Rezultatai!$B$2:$B$500,$K96,Rezultatai!$A$2:$A$500,$C$2-2,Rezultatai!$D$2:$D$500,"&lt;&gt;Papildomi (R+)"))))*MIN(425,375+(1/70)*(SUMIFS(Parametrai!$B$2:$B$40,Parametrai!$A$2:$A$40,$C$2-2)-2500)))</f>
        <v/>
      </c>
      <c r="N96" s="18" t="str">
        <f>IF($K96="","",(SUMIFS(Rezultatai!$J$2:$J$500,Rezultatai!$B$2:$B$500,$K96,Rezultatai!$A$2:$A$500,$C$2-1,Rezultatai!$D$2:$D$500,"&lt;&gt;Papildomi (R+)")+MIN(SUMIFS(Rezultatai!$J$2:$J$500,Rezultatai!$B$2:$B$500,$K96,Rezultatai!$A$2:$A$500,$C$2-1,Rezultatai!$D$2:$D$500,"Papildomi (R+)"),0.15*(SUMIFS(Rezultatai!$J$2:$J$500,Rezultatai!$B$2:$B$500,$K96,Rezultatai!$A$2:$A$500,$C$2-1,Rezultatai!$D$2:$D$500,"&lt;&gt;Papildomi (R+)"))))*MIN(450,400+(1/70)*(SUMIFS(Parametrai!$B$2:$B$40,Parametrai!$A$2:$A$40,$C$2-1)-2500)))</f>
        <v/>
      </c>
      <c r="O96" s="18" t="str">
        <f>IF($K96="","",(SUMIFS(Rezultatai!$J$2:$J$500,Rezultatai!$B$2:$B$500,$K96,Rezultatai!$A$2:$A$500,$C$2,Rezultatai!$D$2:$D$500,"&lt;&gt;Papildomi (R+)")+MIN(SUMIFS(Rezultatai!$J$2:$J$500,Rezultatai!$B$2:$B$500,$K96,Rezultatai!$A$2:$A$500,$C$2,Rezultatai!$D$2:$D$500,"Papildomi (R+)"),0.15*(SUMIFS(Rezultatai!$J$2:$J$500,Rezultatai!$B$2:$B$500,$K96,Rezultatai!$A$2:$A$500,$C$2,Rezultatai!$D$2:$D$500,"&lt;&gt;Papildomi (R+)"))))*MIN(550,450+(1/35)*(SUMIFS(Parametrai!$B$2:$B$40,Parametrai!$A$2:$A$40,$C$2)-2500)))</f>
        <v/>
      </c>
      <c r="P96" s="18" t="str">
        <f t="shared" si="25"/>
        <v/>
      </c>
      <c r="Q96" s="17" t="str">
        <f t="shared" si="26"/>
        <v/>
      </c>
      <c r="R96" s="17" t="str">
        <f>IF($K96="","",IF($F$2="Pilotas",SUMPRODUCT(($K$6:$K$105&lt;&gt;"")*($K$6:$K$105&lt;$K96))+COUNTIF($K$6:$K96,$K96),IF($F$2="Klubas",SUMPRODUCT(($K$6:$K$105&lt;&gt;"")*($L$6:$L$105&lt;$L96))+SUMPRODUCT(($K$6:$K$105&lt;&gt;"")*($L$6:$L$105=$L96)*($Q$6:$Q$105&lt;$Q96))+COUNTIFS($L$6:$L96,$L96,$Q$6:$Q96,$Q96),IF($F$2="Nr",COUNTIF($K$6:$K96,"?*"),$Q96+COUNTIF($Q$6:$Q96,$Q96)-1))))</f>
        <v/>
      </c>
    </row>
    <row r="97" spans="1:18" ht="15" customHeight="1" x14ac:dyDescent="0.3">
      <c r="A97" s="19" t="str">
        <f>IFERROR(MATCH(92,$R$6:$R$105,0),"")</f>
        <v/>
      </c>
      <c r="B97" s="19" t="str">
        <f t="shared" si="18"/>
        <v/>
      </c>
      <c r="C97" s="19" t="str">
        <f t="shared" si="19"/>
        <v/>
      </c>
      <c r="D97" s="14" t="str">
        <f t="shared" si="20"/>
        <v/>
      </c>
      <c r="E97" s="14" t="str">
        <f t="shared" si="21"/>
        <v/>
      </c>
      <c r="F97" s="14" t="str">
        <f t="shared" si="22"/>
        <v/>
      </c>
      <c r="G97" s="20" t="str">
        <f t="shared" si="23"/>
        <v/>
      </c>
      <c r="H97" s="21" t="str">
        <f t="shared" si="24"/>
        <v/>
      </c>
      <c r="K97" s="17" t="str">
        <f>IF(Pilotai!B93="","",Pilotai!B93)</f>
        <v/>
      </c>
      <c r="L97" s="17" t="str">
        <f>IF($K97="","",Pilotai!C93)</f>
        <v/>
      </c>
      <c r="M97" s="18" t="str">
        <f>IF($K97="","",(SUMIFS(Rezultatai!$J$2:$J$500,Rezultatai!$B$2:$B$500,$K97,Rezultatai!$A$2:$A$500,$C$2-2,Rezultatai!$D$2:$D$500,"&lt;&gt;Papildomi (R+)")+MIN(SUMIFS(Rezultatai!$J$2:$J$500,Rezultatai!$B$2:$B$500,$K97,Rezultatai!$A$2:$A$500,$C$2-2,Rezultatai!$D$2:$D$500,"Papildomi (R+)"),0.15*(SUMIFS(Rezultatai!$J$2:$J$500,Rezultatai!$B$2:$B$500,$K97,Rezultatai!$A$2:$A$500,$C$2-2,Rezultatai!$D$2:$D$500,"&lt;&gt;Papildomi (R+)"))))*MIN(425,375+(1/70)*(SUMIFS(Parametrai!$B$2:$B$40,Parametrai!$A$2:$A$40,$C$2-2)-2500)))</f>
        <v/>
      </c>
      <c r="N97" s="18" t="str">
        <f>IF($K97="","",(SUMIFS(Rezultatai!$J$2:$J$500,Rezultatai!$B$2:$B$500,$K97,Rezultatai!$A$2:$A$500,$C$2-1,Rezultatai!$D$2:$D$500,"&lt;&gt;Papildomi (R+)")+MIN(SUMIFS(Rezultatai!$J$2:$J$500,Rezultatai!$B$2:$B$500,$K97,Rezultatai!$A$2:$A$500,$C$2-1,Rezultatai!$D$2:$D$500,"Papildomi (R+)"),0.15*(SUMIFS(Rezultatai!$J$2:$J$500,Rezultatai!$B$2:$B$500,$K97,Rezultatai!$A$2:$A$500,$C$2-1,Rezultatai!$D$2:$D$500,"&lt;&gt;Papildomi (R+)"))))*MIN(450,400+(1/70)*(SUMIFS(Parametrai!$B$2:$B$40,Parametrai!$A$2:$A$40,$C$2-1)-2500)))</f>
        <v/>
      </c>
      <c r="O97" s="18" t="str">
        <f>IF($K97="","",(SUMIFS(Rezultatai!$J$2:$J$500,Rezultatai!$B$2:$B$500,$K97,Rezultatai!$A$2:$A$500,$C$2,Rezultatai!$D$2:$D$500,"&lt;&gt;Papildomi (R+)")+MIN(SUMIFS(Rezultatai!$J$2:$J$500,Rezultatai!$B$2:$B$500,$K97,Rezultatai!$A$2:$A$500,$C$2,Rezultatai!$D$2:$D$500,"Papildomi (R+)"),0.15*(SUMIFS(Rezultatai!$J$2:$J$500,Rezultatai!$B$2:$B$500,$K97,Rezultatai!$A$2:$A$500,$C$2,Rezultatai!$D$2:$D$500,"&lt;&gt;Papildomi (R+)"))))*MIN(550,450+(1/35)*(SUMIFS(Parametrai!$B$2:$B$40,Parametrai!$A$2:$A$40,$C$2)-2500)))</f>
        <v/>
      </c>
      <c r="P97" s="18" t="str">
        <f t="shared" si="25"/>
        <v/>
      </c>
      <c r="Q97" s="17" t="str">
        <f t="shared" si="26"/>
        <v/>
      </c>
      <c r="R97" s="17" t="str">
        <f>IF($K97="","",IF($F$2="Pilotas",SUMPRODUCT(($K$6:$K$105&lt;&gt;"")*($K$6:$K$105&lt;$K97))+COUNTIF($K$6:$K97,$K97),IF($F$2="Klubas",SUMPRODUCT(($K$6:$K$105&lt;&gt;"")*($L$6:$L$105&lt;$L97))+SUMPRODUCT(($K$6:$K$105&lt;&gt;"")*($L$6:$L$105=$L97)*($Q$6:$Q$105&lt;$Q97))+COUNTIFS($L$6:$L97,$L97,$Q$6:$Q97,$Q97),IF($F$2="Nr",COUNTIF($K$6:$K97,"?*"),$Q97+COUNTIF($Q$6:$Q97,$Q97)-1))))</f>
        <v/>
      </c>
    </row>
    <row r="98" spans="1:18" ht="15" customHeight="1" x14ac:dyDescent="0.3">
      <c r="A98" s="19" t="str">
        <f>IFERROR(MATCH(93,$R$6:$R$105,0),"")</f>
        <v/>
      </c>
      <c r="B98" s="19" t="str">
        <f t="shared" si="18"/>
        <v/>
      </c>
      <c r="C98" s="19" t="str">
        <f t="shared" si="19"/>
        <v/>
      </c>
      <c r="D98" s="14" t="str">
        <f t="shared" si="20"/>
        <v/>
      </c>
      <c r="E98" s="14" t="str">
        <f t="shared" si="21"/>
        <v/>
      </c>
      <c r="F98" s="14" t="str">
        <f t="shared" si="22"/>
        <v/>
      </c>
      <c r="G98" s="20" t="str">
        <f t="shared" si="23"/>
        <v/>
      </c>
      <c r="H98" s="21" t="str">
        <f t="shared" si="24"/>
        <v/>
      </c>
      <c r="K98" s="17" t="str">
        <f>IF(Pilotai!B94="","",Pilotai!B94)</f>
        <v/>
      </c>
      <c r="L98" s="17" t="str">
        <f>IF($K98="","",Pilotai!C94)</f>
        <v/>
      </c>
      <c r="M98" s="18" t="str">
        <f>IF($K98="","",(SUMIFS(Rezultatai!$J$2:$J$500,Rezultatai!$B$2:$B$500,$K98,Rezultatai!$A$2:$A$500,$C$2-2,Rezultatai!$D$2:$D$500,"&lt;&gt;Papildomi (R+)")+MIN(SUMIFS(Rezultatai!$J$2:$J$500,Rezultatai!$B$2:$B$500,$K98,Rezultatai!$A$2:$A$500,$C$2-2,Rezultatai!$D$2:$D$500,"Papildomi (R+)"),0.15*(SUMIFS(Rezultatai!$J$2:$J$500,Rezultatai!$B$2:$B$500,$K98,Rezultatai!$A$2:$A$500,$C$2-2,Rezultatai!$D$2:$D$500,"&lt;&gt;Papildomi (R+)"))))*MIN(425,375+(1/70)*(SUMIFS(Parametrai!$B$2:$B$40,Parametrai!$A$2:$A$40,$C$2-2)-2500)))</f>
        <v/>
      </c>
      <c r="N98" s="18" t="str">
        <f>IF($K98="","",(SUMIFS(Rezultatai!$J$2:$J$500,Rezultatai!$B$2:$B$500,$K98,Rezultatai!$A$2:$A$500,$C$2-1,Rezultatai!$D$2:$D$500,"&lt;&gt;Papildomi (R+)")+MIN(SUMIFS(Rezultatai!$J$2:$J$500,Rezultatai!$B$2:$B$500,$K98,Rezultatai!$A$2:$A$500,$C$2-1,Rezultatai!$D$2:$D$500,"Papildomi (R+)"),0.15*(SUMIFS(Rezultatai!$J$2:$J$500,Rezultatai!$B$2:$B$500,$K98,Rezultatai!$A$2:$A$500,$C$2-1,Rezultatai!$D$2:$D$500,"&lt;&gt;Papildomi (R+)"))))*MIN(450,400+(1/70)*(SUMIFS(Parametrai!$B$2:$B$40,Parametrai!$A$2:$A$40,$C$2-1)-2500)))</f>
        <v/>
      </c>
      <c r="O98" s="18" t="str">
        <f>IF($K98="","",(SUMIFS(Rezultatai!$J$2:$J$500,Rezultatai!$B$2:$B$500,$K98,Rezultatai!$A$2:$A$500,$C$2,Rezultatai!$D$2:$D$500,"&lt;&gt;Papildomi (R+)")+MIN(SUMIFS(Rezultatai!$J$2:$J$500,Rezultatai!$B$2:$B$500,$K98,Rezultatai!$A$2:$A$500,$C$2,Rezultatai!$D$2:$D$500,"Papildomi (R+)"),0.15*(SUMIFS(Rezultatai!$J$2:$J$500,Rezultatai!$B$2:$B$500,$K98,Rezultatai!$A$2:$A$500,$C$2,Rezultatai!$D$2:$D$500,"&lt;&gt;Papildomi (R+)"))))*MIN(550,450+(1/35)*(SUMIFS(Parametrai!$B$2:$B$40,Parametrai!$A$2:$A$40,$C$2)-2500)))</f>
        <v/>
      </c>
      <c r="P98" s="18" t="str">
        <f t="shared" si="25"/>
        <v/>
      </c>
      <c r="Q98" s="17" t="str">
        <f t="shared" si="26"/>
        <v/>
      </c>
      <c r="R98" s="17" t="str">
        <f>IF($K98="","",IF($F$2="Pilotas",SUMPRODUCT(($K$6:$K$105&lt;&gt;"")*($K$6:$K$105&lt;$K98))+COUNTIF($K$6:$K98,$K98),IF($F$2="Klubas",SUMPRODUCT(($K$6:$K$105&lt;&gt;"")*($L$6:$L$105&lt;$L98))+SUMPRODUCT(($K$6:$K$105&lt;&gt;"")*($L$6:$L$105=$L98)*($Q$6:$Q$105&lt;$Q98))+COUNTIFS($L$6:$L98,$L98,$Q$6:$Q98,$Q98),IF($F$2="Nr",COUNTIF($K$6:$K98,"?*"),$Q98+COUNTIF($Q$6:$Q98,$Q98)-1))))</f>
        <v/>
      </c>
    </row>
    <row r="99" spans="1:18" ht="15" customHeight="1" x14ac:dyDescent="0.3">
      <c r="A99" s="19" t="str">
        <f>IFERROR(MATCH(94,$R$6:$R$105,0),"")</f>
        <v/>
      </c>
      <c r="B99" s="19" t="str">
        <f t="shared" si="18"/>
        <v/>
      </c>
      <c r="C99" s="19" t="str">
        <f t="shared" si="19"/>
        <v/>
      </c>
      <c r="D99" s="14" t="str">
        <f t="shared" si="20"/>
        <v/>
      </c>
      <c r="E99" s="14" t="str">
        <f t="shared" si="21"/>
        <v/>
      </c>
      <c r="F99" s="14" t="str">
        <f t="shared" si="22"/>
        <v/>
      </c>
      <c r="G99" s="20" t="str">
        <f t="shared" si="23"/>
        <v/>
      </c>
      <c r="H99" s="21" t="str">
        <f t="shared" si="24"/>
        <v/>
      </c>
      <c r="K99" s="17" t="str">
        <f>IF(Pilotai!B95="","",Pilotai!B95)</f>
        <v/>
      </c>
      <c r="L99" s="17" t="str">
        <f>IF($K99="","",Pilotai!C95)</f>
        <v/>
      </c>
      <c r="M99" s="18" t="str">
        <f>IF($K99="","",(SUMIFS(Rezultatai!$J$2:$J$500,Rezultatai!$B$2:$B$500,$K99,Rezultatai!$A$2:$A$500,$C$2-2,Rezultatai!$D$2:$D$500,"&lt;&gt;Papildomi (R+)")+MIN(SUMIFS(Rezultatai!$J$2:$J$500,Rezultatai!$B$2:$B$500,$K99,Rezultatai!$A$2:$A$500,$C$2-2,Rezultatai!$D$2:$D$500,"Papildomi (R+)"),0.15*(SUMIFS(Rezultatai!$J$2:$J$500,Rezultatai!$B$2:$B$500,$K99,Rezultatai!$A$2:$A$500,$C$2-2,Rezultatai!$D$2:$D$500,"&lt;&gt;Papildomi (R+)"))))*MIN(425,375+(1/70)*(SUMIFS(Parametrai!$B$2:$B$40,Parametrai!$A$2:$A$40,$C$2-2)-2500)))</f>
        <v/>
      </c>
      <c r="N99" s="18" t="str">
        <f>IF($K99="","",(SUMIFS(Rezultatai!$J$2:$J$500,Rezultatai!$B$2:$B$500,$K99,Rezultatai!$A$2:$A$500,$C$2-1,Rezultatai!$D$2:$D$500,"&lt;&gt;Papildomi (R+)")+MIN(SUMIFS(Rezultatai!$J$2:$J$500,Rezultatai!$B$2:$B$500,$K99,Rezultatai!$A$2:$A$500,$C$2-1,Rezultatai!$D$2:$D$500,"Papildomi (R+)"),0.15*(SUMIFS(Rezultatai!$J$2:$J$500,Rezultatai!$B$2:$B$500,$K99,Rezultatai!$A$2:$A$500,$C$2-1,Rezultatai!$D$2:$D$500,"&lt;&gt;Papildomi (R+)"))))*MIN(450,400+(1/70)*(SUMIFS(Parametrai!$B$2:$B$40,Parametrai!$A$2:$A$40,$C$2-1)-2500)))</f>
        <v/>
      </c>
      <c r="O99" s="18" t="str">
        <f>IF($K99="","",(SUMIFS(Rezultatai!$J$2:$J$500,Rezultatai!$B$2:$B$500,$K99,Rezultatai!$A$2:$A$500,$C$2,Rezultatai!$D$2:$D$500,"&lt;&gt;Papildomi (R+)")+MIN(SUMIFS(Rezultatai!$J$2:$J$500,Rezultatai!$B$2:$B$500,$K99,Rezultatai!$A$2:$A$500,$C$2,Rezultatai!$D$2:$D$500,"Papildomi (R+)"),0.15*(SUMIFS(Rezultatai!$J$2:$J$500,Rezultatai!$B$2:$B$500,$K99,Rezultatai!$A$2:$A$500,$C$2,Rezultatai!$D$2:$D$500,"&lt;&gt;Papildomi (R+)"))))*MIN(550,450+(1/35)*(SUMIFS(Parametrai!$B$2:$B$40,Parametrai!$A$2:$A$40,$C$2)-2500)))</f>
        <v/>
      </c>
      <c r="P99" s="18" t="str">
        <f t="shared" si="25"/>
        <v/>
      </c>
      <c r="Q99" s="17" t="str">
        <f t="shared" si="26"/>
        <v/>
      </c>
      <c r="R99" s="17" t="str">
        <f>IF($K99="","",IF($F$2="Pilotas",SUMPRODUCT(($K$6:$K$105&lt;&gt;"")*($K$6:$K$105&lt;$K99))+COUNTIF($K$6:$K99,$K99),IF($F$2="Klubas",SUMPRODUCT(($K$6:$K$105&lt;&gt;"")*($L$6:$L$105&lt;$L99))+SUMPRODUCT(($K$6:$K$105&lt;&gt;"")*($L$6:$L$105=$L99)*($Q$6:$Q$105&lt;$Q99))+COUNTIFS($L$6:$L99,$L99,$Q$6:$Q99,$Q99),IF($F$2="Nr",COUNTIF($K$6:$K99,"?*"),$Q99+COUNTIF($Q$6:$Q99,$Q99)-1))))</f>
        <v/>
      </c>
    </row>
    <row r="100" spans="1:18" ht="15" customHeight="1" x14ac:dyDescent="0.3">
      <c r="A100" s="19" t="str">
        <f>IFERROR(MATCH(95,$R$6:$R$105,0),"")</f>
        <v/>
      </c>
      <c r="B100" s="19" t="str">
        <f t="shared" si="18"/>
        <v/>
      </c>
      <c r="C100" s="19" t="str">
        <f t="shared" si="19"/>
        <v/>
      </c>
      <c r="D100" s="14" t="str">
        <f t="shared" si="20"/>
        <v/>
      </c>
      <c r="E100" s="14" t="str">
        <f t="shared" si="21"/>
        <v/>
      </c>
      <c r="F100" s="14" t="str">
        <f t="shared" si="22"/>
        <v/>
      </c>
      <c r="G100" s="20" t="str">
        <f t="shared" si="23"/>
        <v/>
      </c>
      <c r="H100" s="21" t="str">
        <f t="shared" si="24"/>
        <v/>
      </c>
      <c r="K100" s="17" t="str">
        <f>IF(Pilotai!B96="","",Pilotai!B96)</f>
        <v/>
      </c>
      <c r="L100" s="17" t="str">
        <f>IF($K100="","",Pilotai!C96)</f>
        <v/>
      </c>
      <c r="M100" s="18" t="str">
        <f>IF($K100="","",(SUMIFS(Rezultatai!$J$2:$J$500,Rezultatai!$B$2:$B$500,$K100,Rezultatai!$A$2:$A$500,$C$2-2,Rezultatai!$D$2:$D$500,"&lt;&gt;Papildomi (R+)")+MIN(SUMIFS(Rezultatai!$J$2:$J$500,Rezultatai!$B$2:$B$500,$K100,Rezultatai!$A$2:$A$500,$C$2-2,Rezultatai!$D$2:$D$500,"Papildomi (R+)"),0.15*(SUMIFS(Rezultatai!$J$2:$J$500,Rezultatai!$B$2:$B$500,$K100,Rezultatai!$A$2:$A$500,$C$2-2,Rezultatai!$D$2:$D$500,"&lt;&gt;Papildomi (R+)"))))*MIN(425,375+(1/70)*(SUMIFS(Parametrai!$B$2:$B$40,Parametrai!$A$2:$A$40,$C$2-2)-2500)))</f>
        <v/>
      </c>
      <c r="N100" s="18" t="str">
        <f>IF($K100="","",(SUMIFS(Rezultatai!$J$2:$J$500,Rezultatai!$B$2:$B$500,$K100,Rezultatai!$A$2:$A$500,$C$2-1,Rezultatai!$D$2:$D$500,"&lt;&gt;Papildomi (R+)")+MIN(SUMIFS(Rezultatai!$J$2:$J$500,Rezultatai!$B$2:$B$500,$K100,Rezultatai!$A$2:$A$500,$C$2-1,Rezultatai!$D$2:$D$500,"Papildomi (R+)"),0.15*(SUMIFS(Rezultatai!$J$2:$J$500,Rezultatai!$B$2:$B$500,$K100,Rezultatai!$A$2:$A$500,$C$2-1,Rezultatai!$D$2:$D$500,"&lt;&gt;Papildomi (R+)"))))*MIN(450,400+(1/70)*(SUMIFS(Parametrai!$B$2:$B$40,Parametrai!$A$2:$A$40,$C$2-1)-2500)))</f>
        <v/>
      </c>
      <c r="O100" s="18" t="str">
        <f>IF($K100="","",(SUMIFS(Rezultatai!$J$2:$J$500,Rezultatai!$B$2:$B$500,$K100,Rezultatai!$A$2:$A$500,$C$2,Rezultatai!$D$2:$D$500,"&lt;&gt;Papildomi (R+)")+MIN(SUMIFS(Rezultatai!$J$2:$J$500,Rezultatai!$B$2:$B$500,$K100,Rezultatai!$A$2:$A$500,$C$2,Rezultatai!$D$2:$D$500,"Papildomi (R+)"),0.15*(SUMIFS(Rezultatai!$J$2:$J$500,Rezultatai!$B$2:$B$500,$K100,Rezultatai!$A$2:$A$500,$C$2,Rezultatai!$D$2:$D$500,"&lt;&gt;Papildomi (R+)"))))*MIN(550,450+(1/35)*(SUMIFS(Parametrai!$B$2:$B$40,Parametrai!$A$2:$A$40,$C$2)-2500)))</f>
        <v/>
      </c>
      <c r="P100" s="18" t="str">
        <f t="shared" si="25"/>
        <v/>
      </c>
      <c r="Q100" s="17" t="str">
        <f t="shared" si="26"/>
        <v/>
      </c>
      <c r="R100" s="17" t="str">
        <f>IF($K100="","",IF($F$2="Pilotas",SUMPRODUCT(($K$6:$K$105&lt;&gt;"")*($K$6:$K$105&lt;$K100))+COUNTIF($K$6:$K100,$K100),IF($F$2="Klubas",SUMPRODUCT(($K$6:$K$105&lt;&gt;"")*($L$6:$L$105&lt;$L100))+SUMPRODUCT(($K$6:$K$105&lt;&gt;"")*($L$6:$L$105=$L100)*($Q$6:$Q$105&lt;$Q100))+COUNTIFS($L$6:$L100,$L100,$Q$6:$Q100,$Q100),IF($F$2="Nr",COUNTIF($K$6:$K100,"?*"),$Q100+COUNTIF($Q$6:$Q100,$Q100)-1))))</f>
        <v/>
      </c>
    </row>
    <row r="101" spans="1:18" ht="15" customHeight="1" x14ac:dyDescent="0.3">
      <c r="A101" s="19" t="str">
        <f>IFERROR(MATCH(96,$R$6:$R$105,0),"")</f>
        <v/>
      </c>
      <c r="B101" s="19" t="str">
        <f t="shared" si="18"/>
        <v/>
      </c>
      <c r="C101" s="19" t="str">
        <f t="shared" si="19"/>
        <v/>
      </c>
      <c r="D101" s="14" t="str">
        <f t="shared" si="20"/>
        <v/>
      </c>
      <c r="E101" s="14" t="str">
        <f t="shared" si="21"/>
        <v/>
      </c>
      <c r="F101" s="14" t="str">
        <f t="shared" si="22"/>
        <v/>
      </c>
      <c r="G101" s="20" t="str">
        <f t="shared" si="23"/>
        <v/>
      </c>
      <c r="H101" s="21" t="str">
        <f t="shared" si="24"/>
        <v/>
      </c>
      <c r="K101" s="17" t="str">
        <f>IF(Pilotai!B97="","",Pilotai!B97)</f>
        <v/>
      </c>
      <c r="L101" s="17" t="str">
        <f>IF($K101="","",Pilotai!C97)</f>
        <v/>
      </c>
      <c r="M101" s="18" t="str">
        <f>IF($K101="","",(SUMIFS(Rezultatai!$J$2:$J$500,Rezultatai!$B$2:$B$500,$K101,Rezultatai!$A$2:$A$500,$C$2-2,Rezultatai!$D$2:$D$500,"&lt;&gt;Papildomi (R+)")+MIN(SUMIFS(Rezultatai!$J$2:$J$500,Rezultatai!$B$2:$B$500,$K101,Rezultatai!$A$2:$A$500,$C$2-2,Rezultatai!$D$2:$D$500,"Papildomi (R+)"),0.15*(SUMIFS(Rezultatai!$J$2:$J$500,Rezultatai!$B$2:$B$500,$K101,Rezultatai!$A$2:$A$500,$C$2-2,Rezultatai!$D$2:$D$500,"&lt;&gt;Papildomi (R+)"))))*MIN(425,375+(1/70)*(SUMIFS(Parametrai!$B$2:$B$40,Parametrai!$A$2:$A$40,$C$2-2)-2500)))</f>
        <v/>
      </c>
      <c r="N101" s="18" t="str">
        <f>IF($K101="","",(SUMIFS(Rezultatai!$J$2:$J$500,Rezultatai!$B$2:$B$500,$K101,Rezultatai!$A$2:$A$500,$C$2-1,Rezultatai!$D$2:$D$500,"&lt;&gt;Papildomi (R+)")+MIN(SUMIFS(Rezultatai!$J$2:$J$500,Rezultatai!$B$2:$B$500,$K101,Rezultatai!$A$2:$A$500,$C$2-1,Rezultatai!$D$2:$D$500,"Papildomi (R+)"),0.15*(SUMIFS(Rezultatai!$J$2:$J$500,Rezultatai!$B$2:$B$500,$K101,Rezultatai!$A$2:$A$500,$C$2-1,Rezultatai!$D$2:$D$500,"&lt;&gt;Papildomi (R+)"))))*MIN(450,400+(1/70)*(SUMIFS(Parametrai!$B$2:$B$40,Parametrai!$A$2:$A$40,$C$2-1)-2500)))</f>
        <v/>
      </c>
      <c r="O101" s="18" t="str">
        <f>IF($K101="","",(SUMIFS(Rezultatai!$J$2:$J$500,Rezultatai!$B$2:$B$500,$K101,Rezultatai!$A$2:$A$500,$C$2,Rezultatai!$D$2:$D$500,"&lt;&gt;Papildomi (R+)")+MIN(SUMIFS(Rezultatai!$J$2:$J$500,Rezultatai!$B$2:$B$500,$K101,Rezultatai!$A$2:$A$500,$C$2,Rezultatai!$D$2:$D$500,"Papildomi (R+)"),0.15*(SUMIFS(Rezultatai!$J$2:$J$500,Rezultatai!$B$2:$B$500,$K101,Rezultatai!$A$2:$A$500,$C$2,Rezultatai!$D$2:$D$500,"&lt;&gt;Papildomi (R+)"))))*MIN(550,450+(1/35)*(SUMIFS(Parametrai!$B$2:$B$40,Parametrai!$A$2:$A$40,$C$2)-2500)))</f>
        <v/>
      </c>
      <c r="P101" s="18" t="str">
        <f t="shared" si="25"/>
        <v/>
      </c>
      <c r="Q101" s="17" t="str">
        <f t="shared" si="26"/>
        <v/>
      </c>
      <c r="R101" s="17" t="str">
        <f>IF($K101="","",IF($F$2="Pilotas",SUMPRODUCT(($K$6:$K$105&lt;&gt;"")*($K$6:$K$105&lt;$K101))+COUNTIF($K$6:$K101,$K101),IF($F$2="Klubas",SUMPRODUCT(($K$6:$K$105&lt;&gt;"")*($L$6:$L$105&lt;$L101))+SUMPRODUCT(($K$6:$K$105&lt;&gt;"")*($L$6:$L$105=$L101)*($Q$6:$Q$105&lt;$Q101))+COUNTIFS($L$6:$L101,$L101,$Q$6:$Q101,$Q101),IF($F$2="Nr",COUNTIF($K$6:$K101,"?*"),$Q101+COUNTIF($Q$6:$Q101,$Q101)-1))))</f>
        <v/>
      </c>
    </row>
    <row r="102" spans="1:18" ht="15" customHeight="1" x14ac:dyDescent="0.3">
      <c r="A102" s="19" t="str">
        <f>IFERROR(MATCH(97,$R$6:$R$105,0),"")</f>
        <v/>
      </c>
      <c r="B102" s="19" t="str">
        <f t="shared" si="18"/>
        <v/>
      </c>
      <c r="C102" s="19" t="str">
        <f t="shared" si="19"/>
        <v/>
      </c>
      <c r="D102" s="14" t="str">
        <f t="shared" si="20"/>
        <v/>
      </c>
      <c r="E102" s="14" t="str">
        <f t="shared" si="21"/>
        <v/>
      </c>
      <c r="F102" s="14" t="str">
        <f t="shared" si="22"/>
        <v/>
      </c>
      <c r="G102" s="20" t="str">
        <f t="shared" si="23"/>
        <v/>
      </c>
      <c r="H102" s="21" t="str">
        <f t="shared" si="24"/>
        <v/>
      </c>
      <c r="K102" s="17" t="str">
        <f>IF(Pilotai!B98="","",Pilotai!B98)</f>
        <v/>
      </c>
      <c r="L102" s="17" t="str">
        <f>IF($K102="","",Pilotai!C98)</f>
        <v/>
      </c>
      <c r="M102" s="18" t="str">
        <f>IF($K102="","",(SUMIFS(Rezultatai!$J$2:$J$500,Rezultatai!$B$2:$B$500,$K102,Rezultatai!$A$2:$A$500,$C$2-2,Rezultatai!$D$2:$D$500,"&lt;&gt;Papildomi (R+)")+MIN(SUMIFS(Rezultatai!$J$2:$J$500,Rezultatai!$B$2:$B$500,$K102,Rezultatai!$A$2:$A$500,$C$2-2,Rezultatai!$D$2:$D$500,"Papildomi (R+)"),0.15*(SUMIFS(Rezultatai!$J$2:$J$500,Rezultatai!$B$2:$B$500,$K102,Rezultatai!$A$2:$A$500,$C$2-2,Rezultatai!$D$2:$D$500,"&lt;&gt;Papildomi (R+)"))))*MIN(425,375+(1/70)*(SUMIFS(Parametrai!$B$2:$B$40,Parametrai!$A$2:$A$40,$C$2-2)-2500)))</f>
        <v/>
      </c>
      <c r="N102" s="18" t="str">
        <f>IF($K102="","",(SUMIFS(Rezultatai!$J$2:$J$500,Rezultatai!$B$2:$B$500,$K102,Rezultatai!$A$2:$A$500,$C$2-1,Rezultatai!$D$2:$D$500,"&lt;&gt;Papildomi (R+)")+MIN(SUMIFS(Rezultatai!$J$2:$J$500,Rezultatai!$B$2:$B$500,$K102,Rezultatai!$A$2:$A$500,$C$2-1,Rezultatai!$D$2:$D$500,"Papildomi (R+)"),0.15*(SUMIFS(Rezultatai!$J$2:$J$500,Rezultatai!$B$2:$B$500,$K102,Rezultatai!$A$2:$A$500,$C$2-1,Rezultatai!$D$2:$D$500,"&lt;&gt;Papildomi (R+)"))))*MIN(450,400+(1/70)*(SUMIFS(Parametrai!$B$2:$B$40,Parametrai!$A$2:$A$40,$C$2-1)-2500)))</f>
        <v/>
      </c>
      <c r="O102" s="18" t="str">
        <f>IF($K102="","",(SUMIFS(Rezultatai!$J$2:$J$500,Rezultatai!$B$2:$B$500,$K102,Rezultatai!$A$2:$A$500,$C$2,Rezultatai!$D$2:$D$500,"&lt;&gt;Papildomi (R+)")+MIN(SUMIFS(Rezultatai!$J$2:$J$500,Rezultatai!$B$2:$B$500,$K102,Rezultatai!$A$2:$A$500,$C$2,Rezultatai!$D$2:$D$500,"Papildomi (R+)"),0.15*(SUMIFS(Rezultatai!$J$2:$J$500,Rezultatai!$B$2:$B$500,$K102,Rezultatai!$A$2:$A$500,$C$2,Rezultatai!$D$2:$D$500,"&lt;&gt;Papildomi (R+)"))))*MIN(550,450+(1/35)*(SUMIFS(Parametrai!$B$2:$B$40,Parametrai!$A$2:$A$40,$C$2)-2500)))</f>
        <v/>
      </c>
      <c r="P102" s="18" t="str">
        <f t="shared" si="25"/>
        <v/>
      </c>
      <c r="Q102" s="17" t="str">
        <f t="shared" si="26"/>
        <v/>
      </c>
      <c r="R102" s="17" t="str">
        <f>IF($K102="","",IF($F$2="Pilotas",SUMPRODUCT(($K$6:$K$105&lt;&gt;"")*($K$6:$K$105&lt;$K102))+COUNTIF($K$6:$K102,$K102),IF($F$2="Klubas",SUMPRODUCT(($K$6:$K$105&lt;&gt;"")*($L$6:$L$105&lt;$L102))+SUMPRODUCT(($K$6:$K$105&lt;&gt;"")*($L$6:$L$105=$L102)*($Q$6:$Q$105&lt;$Q102))+COUNTIFS($L$6:$L102,$L102,$Q$6:$Q102,$Q102),IF($F$2="Nr",COUNTIF($K$6:$K102,"?*"),$Q102+COUNTIF($Q$6:$Q102,$Q102)-1))))</f>
        <v/>
      </c>
    </row>
    <row r="103" spans="1:18" ht="15" customHeight="1" x14ac:dyDescent="0.3">
      <c r="A103" s="19" t="str">
        <f>IFERROR(MATCH(98,$R$6:$R$105,0),"")</f>
        <v/>
      </c>
      <c r="B103" s="19" t="str">
        <f t="shared" si="18"/>
        <v/>
      </c>
      <c r="C103" s="19" t="str">
        <f t="shared" si="19"/>
        <v/>
      </c>
      <c r="D103" s="14" t="str">
        <f t="shared" si="20"/>
        <v/>
      </c>
      <c r="E103" s="14" t="str">
        <f t="shared" si="21"/>
        <v/>
      </c>
      <c r="F103" s="14" t="str">
        <f t="shared" si="22"/>
        <v/>
      </c>
      <c r="G103" s="20" t="str">
        <f t="shared" si="23"/>
        <v/>
      </c>
      <c r="H103" s="21" t="str">
        <f t="shared" si="24"/>
        <v/>
      </c>
      <c r="K103" s="17" t="str">
        <f>IF(Pilotai!B99="","",Pilotai!B99)</f>
        <v/>
      </c>
      <c r="L103" s="17" t="str">
        <f>IF($K103="","",Pilotai!C99)</f>
        <v/>
      </c>
      <c r="M103" s="18" t="str">
        <f>IF($K103="","",(SUMIFS(Rezultatai!$J$2:$J$500,Rezultatai!$B$2:$B$500,$K103,Rezultatai!$A$2:$A$500,$C$2-2,Rezultatai!$D$2:$D$500,"&lt;&gt;Papildomi (R+)")+MIN(SUMIFS(Rezultatai!$J$2:$J$500,Rezultatai!$B$2:$B$500,$K103,Rezultatai!$A$2:$A$500,$C$2-2,Rezultatai!$D$2:$D$500,"Papildomi (R+)"),0.15*(SUMIFS(Rezultatai!$J$2:$J$500,Rezultatai!$B$2:$B$500,$K103,Rezultatai!$A$2:$A$500,$C$2-2,Rezultatai!$D$2:$D$500,"&lt;&gt;Papildomi (R+)"))))*MIN(425,375+(1/70)*(SUMIFS(Parametrai!$B$2:$B$40,Parametrai!$A$2:$A$40,$C$2-2)-2500)))</f>
        <v/>
      </c>
      <c r="N103" s="18" t="str">
        <f>IF($K103="","",(SUMIFS(Rezultatai!$J$2:$J$500,Rezultatai!$B$2:$B$500,$K103,Rezultatai!$A$2:$A$500,$C$2-1,Rezultatai!$D$2:$D$500,"&lt;&gt;Papildomi (R+)")+MIN(SUMIFS(Rezultatai!$J$2:$J$500,Rezultatai!$B$2:$B$500,$K103,Rezultatai!$A$2:$A$500,$C$2-1,Rezultatai!$D$2:$D$500,"Papildomi (R+)"),0.15*(SUMIFS(Rezultatai!$J$2:$J$500,Rezultatai!$B$2:$B$500,$K103,Rezultatai!$A$2:$A$500,$C$2-1,Rezultatai!$D$2:$D$500,"&lt;&gt;Papildomi (R+)"))))*MIN(450,400+(1/70)*(SUMIFS(Parametrai!$B$2:$B$40,Parametrai!$A$2:$A$40,$C$2-1)-2500)))</f>
        <v/>
      </c>
      <c r="O103" s="18" t="str">
        <f>IF($K103="","",(SUMIFS(Rezultatai!$J$2:$J$500,Rezultatai!$B$2:$B$500,$K103,Rezultatai!$A$2:$A$500,$C$2,Rezultatai!$D$2:$D$500,"&lt;&gt;Papildomi (R+)")+MIN(SUMIFS(Rezultatai!$J$2:$J$500,Rezultatai!$B$2:$B$500,$K103,Rezultatai!$A$2:$A$500,$C$2,Rezultatai!$D$2:$D$500,"Papildomi (R+)"),0.15*(SUMIFS(Rezultatai!$J$2:$J$500,Rezultatai!$B$2:$B$500,$K103,Rezultatai!$A$2:$A$500,$C$2,Rezultatai!$D$2:$D$500,"&lt;&gt;Papildomi (R+)"))))*MIN(550,450+(1/35)*(SUMIFS(Parametrai!$B$2:$B$40,Parametrai!$A$2:$A$40,$C$2)-2500)))</f>
        <v/>
      </c>
      <c r="P103" s="18" t="str">
        <f t="shared" si="25"/>
        <v/>
      </c>
      <c r="Q103" s="17" t="str">
        <f t="shared" si="26"/>
        <v/>
      </c>
      <c r="R103" s="17" t="str">
        <f>IF($K103="","",IF($F$2="Pilotas",SUMPRODUCT(($K$6:$K$105&lt;&gt;"")*($K$6:$K$105&lt;$K103))+COUNTIF($K$6:$K103,$K103),IF($F$2="Klubas",SUMPRODUCT(($K$6:$K$105&lt;&gt;"")*($L$6:$L$105&lt;$L103))+SUMPRODUCT(($K$6:$K$105&lt;&gt;"")*($L$6:$L$105=$L103)*($Q$6:$Q$105&lt;$Q103))+COUNTIFS($L$6:$L103,$L103,$Q$6:$Q103,$Q103),IF($F$2="Nr",COUNTIF($K$6:$K103,"?*"),$Q103+COUNTIF($Q$6:$Q103,$Q103)-1))))</f>
        <v/>
      </c>
    </row>
    <row r="104" spans="1:18" ht="15" customHeight="1" x14ac:dyDescent="0.3">
      <c r="A104" s="19" t="str">
        <f>IFERROR(MATCH(99,$R$6:$R$105,0),"")</f>
        <v/>
      </c>
      <c r="B104" s="19" t="str">
        <f t="shared" si="18"/>
        <v/>
      </c>
      <c r="C104" s="19" t="str">
        <f t="shared" si="19"/>
        <v/>
      </c>
      <c r="D104" s="14" t="str">
        <f t="shared" si="20"/>
        <v/>
      </c>
      <c r="E104" s="14" t="str">
        <f t="shared" si="21"/>
        <v/>
      </c>
      <c r="F104" s="14" t="str">
        <f t="shared" si="22"/>
        <v/>
      </c>
      <c r="G104" s="20" t="str">
        <f t="shared" si="23"/>
        <v/>
      </c>
      <c r="H104" s="21" t="str">
        <f t="shared" si="24"/>
        <v/>
      </c>
      <c r="K104" s="17" t="str">
        <f>IF(Pilotai!B100="","",Pilotai!B100)</f>
        <v/>
      </c>
      <c r="L104" s="17" t="str">
        <f>IF($K104="","",Pilotai!C100)</f>
        <v/>
      </c>
      <c r="M104" s="18" t="str">
        <f>IF($K104="","",(SUMIFS(Rezultatai!$J$2:$J$500,Rezultatai!$B$2:$B$500,$K104,Rezultatai!$A$2:$A$500,$C$2-2,Rezultatai!$D$2:$D$500,"&lt;&gt;Papildomi (R+)")+MIN(SUMIFS(Rezultatai!$J$2:$J$500,Rezultatai!$B$2:$B$500,$K104,Rezultatai!$A$2:$A$500,$C$2-2,Rezultatai!$D$2:$D$500,"Papildomi (R+)"),0.15*(SUMIFS(Rezultatai!$J$2:$J$500,Rezultatai!$B$2:$B$500,$K104,Rezultatai!$A$2:$A$500,$C$2-2,Rezultatai!$D$2:$D$500,"&lt;&gt;Papildomi (R+)"))))*MIN(425,375+(1/70)*(SUMIFS(Parametrai!$B$2:$B$40,Parametrai!$A$2:$A$40,$C$2-2)-2500)))</f>
        <v/>
      </c>
      <c r="N104" s="18" t="str">
        <f>IF($K104="","",(SUMIFS(Rezultatai!$J$2:$J$500,Rezultatai!$B$2:$B$500,$K104,Rezultatai!$A$2:$A$500,$C$2-1,Rezultatai!$D$2:$D$500,"&lt;&gt;Papildomi (R+)")+MIN(SUMIFS(Rezultatai!$J$2:$J$500,Rezultatai!$B$2:$B$500,$K104,Rezultatai!$A$2:$A$500,$C$2-1,Rezultatai!$D$2:$D$500,"Papildomi (R+)"),0.15*(SUMIFS(Rezultatai!$J$2:$J$500,Rezultatai!$B$2:$B$500,$K104,Rezultatai!$A$2:$A$500,$C$2-1,Rezultatai!$D$2:$D$500,"&lt;&gt;Papildomi (R+)"))))*MIN(450,400+(1/70)*(SUMIFS(Parametrai!$B$2:$B$40,Parametrai!$A$2:$A$40,$C$2-1)-2500)))</f>
        <v/>
      </c>
      <c r="O104" s="18" t="str">
        <f>IF($K104="","",(SUMIFS(Rezultatai!$J$2:$J$500,Rezultatai!$B$2:$B$500,$K104,Rezultatai!$A$2:$A$500,$C$2,Rezultatai!$D$2:$D$500,"&lt;&gt;Papildomi (R+)")+MIN(SUMIFS(Rezultatai!$J$2:$J$500,Rezultatai!$B$2:$B$500,$K104,Rezultatai!$A$2:$A$500,$C$2,Rezultatai!$D$2:$D$500,"Papildomi (R+)"),0.15*(SUMIFS(Rezultatai!$J$2:$J$500,Rezultatai!$B$2:$B$500,$K104,Rezultatai!$A$2:$A$500,$C$2,Rezultatai!$D$2:$D$500,"&lt;&gt;Papildomi (R+)"))))*MIN(550,450+(1/35)*(SUMIFS(Parametrai!$B$2:$B$40,Parametrai!$A$2:$A$40,$C$2)-2500)))</f>
        <v/>
      </c>
      <c r="P104" s="18" t="str">
        <f t="shared" si="25"/>
        <v/>
      </c>
      <c r="Q104" s="17" t="str">
        <f t="shared" si="26"/>
        <v/>
      </c>
      <c r="R104" s="17" t="str">
        <f>IF($K104="","",IF($F$2="Pilotas",SUMPRODUCT(($K$6:$K$105&lt;&gt;"")*($K$6:$K$105&lt;$K104))+COUNTIF($K$6:$K104,$K104),IF($F$2="Klubas",SUMPRODUCT(($K$6:$K$105&lt;&gt;"")*($L$6:$L$105&lt;$L104))+SUMPRODUCT(($K$6:$K$105&lt;&gt;"")*($L$6:$L$105=$L104)*($Q$6:$Q$105&lt;$Q104))+COUNTIFS($L$6:$L104,$L104,$Q$6:$Q104,$Q104),IF($F$2="Nr",COUNTIF($K$6:$K104,"?*"),$Q104+COUNTIF($Q$6:$Q104,$Q104)-1))))</f>
        <v/>
      </c>
    </row>
    <row r="105" spans="1:18" ht="15" customHeight="1" x14ac:dyDescent="0.3">
      <c r="A105" s="19" t="str">
        <f>IFERROR(MATCH(100,$R$6:$R$105,0),"")</f>
        <v/>
      </c>
      <c r="B105" s="19" t="str">
        <f t="shared" si="18"/>
        <v/>
      </c>
      <c r="C105" s="19" t="str">
        <f t="shared" si="19"/>
        <v/>
      </c>
      <c r="D105" s="14" t="str">
        <f t="shared" si="20"/>
        <v/>
      </c>
      <c r="E105" s="14" t="str">
        <f t="shared" si="21"/>
        <v/>
      </c>
      <c r="F105" s="14" t="str">
        <f t="shared" si="22"/>
        <v/>
      </c>
      <c r="G105" s="20" t="str">
        <f t="shared" si="23"/>
        <v/>
      </c>
      <c r="H105" s="21" t="str">
        <f t="shared" si="24"/>
        <v/>
      </c>
      <c r="K105" s="17" t="str">
        <f>IF(Pilotai!B101="","",Pilotai!B101)</f>
        <v/>
      </c>
      <c r="L105" s="17" t="str">
        <f>IF($K105="","",Pilotai!C101)</f>
        <v/>
      </c>
      <c r="M105" s="18" t="str">
        <f>IF($K105="","",(SUMIFS(Rezultatai!$J$2:$J$500,Rezultatai!$B$2:$B$500,$K105,Rezultatai!$A$2:$A$500,$C$2-2,Rezultatai!$D$2:$D$500,"&lt;&gt;Papildomi (R+)")+MIN(SUMIFS(Rezultatai!$J$2:$J$500,Rezultatai!$B$2:$B$500,$K105,Rezultatai!$A$2:$A$500,$C$2-2,Rezultatai!$D$2:$D$500,"Papildomi (R+)"),0.15*(SUMIFS(Rezultatai!$J$2:$J$500,Rezultatai!$B$2:$B$500,$K105,Rezultatai!$A$2:$A$500,$C$2-2,Rezultatai!$D$2:$D$500,"&lt;&gt;Papildomi (R+)"))))*MIN(425,375+(1/70)*(SUMIFS(Parametrai!$B$2:$B$40,Parametrai!$A$2:$A$40,$C$2-2)-2500)))</f>
        <v/>
      </c>
      <c r="N105" s="18" t="str">
        <f>IF($K105="","",(SUMIFS(Rezultatai!$J$2:$J$500,Rezultatai!$B$2:$B$500,$K105,Rezultatai!$A$2:$A$500,$C$2-1,Rezultatai!$D$2:$D$500,"&lt;&gt;Papildomi (R+)")+MIN(SUMIFS(Rezultatai!$J$2:$J$500,Rezultatai!$B$2:$B$500,$K105,Rezultatai!$A$2:$A$500,$C$2-1,Rezultatai!$D$2:$D$500,"Papildomi (R+)"),0.15*(SUMIFS(Rezultatai!$J$2:$J$500,Rezultatai!$B$2:$B$500,$K105,Rezultatai!$A$2:$A$500,$C$2-1,Rezultatai!$D$2:$D$500,"&lt;&gt;Papildomi (R+)"))))*MIN(450,400+(1/70)*(SUMIFS(Parametrai!$B$2:$B$40,Parametrai!$A$2:$A$40,$C$2-1)-2500)))</f>
        <v/>
      </c>
      <c r="O105" s="18" t="str">
        <f>IF($K105="","",(SUMIFS(Rezultatai!$J$2:$J$500,Rezultatai!$B$2:$B$500,$K105,Rezultatai!$A$2:$A$500,$C$2,Rezultatai!$D$2:$D$500,"&lt;&gt;Papildomi (R+)")+MIN(SUMIFS(Rezultatai!$J$2:$J$500,Rezultatai!$B$2:$B$500,$K105,Rezultatai!$A$2:$A$500,$C$2,Rezultatai!$D$2:$D$500,"Papildomi (R+)"),0.15*(SUMIFS(Rezultatai!$J$2:$J$500,Rezultatai!$B$2:$B$500,$K105,Rezultatai!$A$2:$A$500,$C$2,Rezultatai!$D$2:$D$500,"&lt;&gt;Papildomi (R+)"))))*MIN(550,450+(1/35)*(SUMIFS(Parametrai!$B$2:$B$40,Parametrai!$A$2:$A$40,$C$2)-2500)))</f>
        <v/>
      </c>
      <c r="P105" s="18" t="str">
        <f t="shared" si="25"/>
        <v/>
      </c>
      <c r="Q105" s="17" t="str">
        <f t="shared" si="26"/>
        <v/>
      </c>
      <c r="R105" s="17" t="str">
        <f>IF($K105="","",IF($F$2="Pilotas",SUMPRODUCT(($K$6:$K$105&lt;&gt;"")*($K$6:$K$105&lt;$K105))+COUNTIF($K$6:$K105,$K105),IF($F$2="Klubas",SUMPRODUCT(($K$6:$K$105&lt;&gt;"")*($L$6:$L$105&lt;$L105))+SUMPRODUCT(($K$6:$K$105&lt;&gt;"")*($L$6:$L$105=$L105)*($Q$6:$Q$105&lt;$Q105))+COUNTIFS($L$6:$L105,$L105,$Q$6:$Q105,$Q105),IF($F$2="Nr",COUNTIF($K$6:$K105,"?*"),$Q105+COUNTIF($Q$6:$Q105,$Q105)-1))))</f>
        <v/>
      </c>
    </row>
  </sheetData>
  <sheetProtection sheet="1" formatColumns="0" formatRows="0" autoFilter="0"/>
  <autoFilter ref="A5:H5" xr:uid="{00000000-0009-0000-0000-000001000000}">
    <sortState xmlns:xlrd2="http://schemas.microsoft.com/office/spreadsheetml/2017/richdata2" ref="A5:H6">
      <sortCondition ref="A5:A6"/>
    </sortState>
  </autoFilter>
  <mergeCells count="1">
    <mergeCell ref="A1:H1"/>
  </mergeCells>
  <dataValidations count="1">
    <dataValidation type="list" showErrorMessage="1" errorTitle="Netinkama reikšmė" error="Pasirink: Vieta, Pilotas, Klubas arba Nr" sqref="F2" xr:uid="{00000000-0002-0000-0100-000000000000}">
      <formula1>"Vieta,Pilotas,Klubas,Nr"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500"/>
  <sheetViews>
    <sheetView zoomScaleNormal="100" workbookViewId="0">
      <pane ySplit="1" topLeftCell="A188" activePane="bottomLeft" state="frozen"/>
      <selection pane="bottomLeft" activeCell="C225" sqref="C225"/>
    </sheetView>
  </sheetViews>
  <sheetFormatPr defaultColWidth="8.6640625" defaultRowHeight="14.4" x14ac:dyDescent="0.3"/>
  <cols>
    <col min="1" max="1" width="7" customWidth="1"/>
    <col min="2" max="2" width="24" customWidth="1"/>
    <col min="3" max="4" width="20" customWidth="1"/>
    <col min="5" max="5" width="13" customWidth="1"/>
    <col min="6" max="7" width="9" customWidth="1"/>
    <col min="8" max="8" width="10" customWidth="1"/>
    <col min="9" max="9" width="30" customWidth="1"/>
    <col min="10" max="10" width="10" customWidth="1"/>
  </cols>
  <sheetData>
    <row r="1" spans="1:10" ht="15" customHeight="1" x14ac:dyDescent="0.3">
      <c r="A1" s="11" t="s">
        <v>40</v>
      </c>
      <c r="B1" s="11" t="s">
        <v>33</v>
      </c>
      <c r="C1" s="11" t="s">
        <v>34</v>
      </c>
      <c r="D1" s="11" t="s">
        <v>41</v>
      </c>
      <c r="E1" s="11" t="s">
        <v>42</v>
      </c>
      <c r="F1" s="11" t="s">
        <v>43</v>
      </c>
      <c r="G1" s="11" t="s">
        <v>44</v>
      </c>
      <c r="H1" s="11" t="s">
        <v>45</v>
      </c>
      <c r="I1" s="11" t="s">
        <v>46</v>
      </c>
      <c r="J1" s="11" t="s">
        <v>47</v>
      </c>
    </row>
    <row r="2" spans="1:10" ht="15" customHeight="1" x14ac:dyDescent="0.3">
      <c r="A2" s="22">
        <v>2017</v>
      </c>
      <c r="B2" s="22" t="s">
        <v>48</v>
      </c>
      <c r="C2" s="22" t="s">
        <v>49</v>
      </c>
      <c r="D2" s="22" t="s">
        <v>50</v>
      </c>
      <c r="E2" s="22">
        <v>7408</v>
      </c>
      <c r="F2" s="22"/>
      <c r="G2" s="22"/>
      <c r="H2" s="22">
        <v>1</v>
      </c>
      <c r="I2" s="22" t="s">
        <v>51</v>
      </c>
      <c r="J2" s="23">
        <f>IF($D2="LSF čempionatas",IFERROR($E2/SUMIFS(Parametrai!$B$2:$B$21,Parametrai!$A$2:$A$21,$A2)*SUMIFS(Parametrai!$E$2:$E$21,Parametrai!$A$2:$A$21,$A2),0),IF($D2="Kitos varžybos, deklaruotos reitingui",IFERROR($F2/MAX($G2,SUMIFS(Parametrai!$F$2:$F$21,Parametrai!$A$2:$A$21,$A2))*IF($H2="",1,$H2),0),IF($D2="Susikertančios su Lietuvos čempionatu",0.95*SUMIFS($J$2:$J$500,$B$2:$B$500,$B2,$A$2:$A$500,$A2-1),IF($D2="Papildomi (R+)",IFERROR(MAX(0,($F2-900)/1000),0),0))))</f>
        <v>0.89968423609424342</v>
      </c>
    </row>
    <row r="3" spans="1:10" ht="15" customHeight="1" x14ac:dyDescent="0.3">
      <c r="A3" s="22">
        <v>2017</v>
      </c>
      <c r="B3" s="22" t="s">
        <v>52</v>
      </c>
      <c r="C3" s="22" t="s">
        <v>53</v>
      </c>
      <c r="D3" s="22" t="s">
        <v>50</v>
      </c>
      <c r="E3" s="22">
        <v>4449</v>
      </c>
      <c r="F3" s="22"/>
      <c r="G3" s="22"/>
      <c r="H3" s="22">
        <v>1</v>
      </c>
      <c r="I3" s="22" t="s">
        <v>51</v>
      </c>
      <c r="J3" s="23">
        <f>IF($D3="LSF čempionatas",IFERROR($E3/SUMIFS(Parametrai!$B$2:$B$21,Parametrai!$A$2:$A$21,$A3)*SUMIFS(Parametrai!$E$2:$E$21,Parametrai!$A$2:$A$21,$A3),0),IF($D3="Kitos varžybos, deklaruotos reitingui",IFERROR($F3/MAX($G3,SUMIFS(Parametrai!$F$2:$F$21,Parametrai!$A$2:$A$21,$A3))*IF($H3="",1,$H3),0),IF($D3="Susikertančios su Lietuvos čempionatu",0.95*SUMIFS($J$2:$J$500,$B$2:$B$500,$B3,$A$2:$A$500,$A3-1),IF($D3="Papildomi (R+)",IFERROR(MAX(0,($F3-900)/1000),0),0))))</f>
        <v>0.54032062181199902</v>
      </c>
    </row>
    <row r="4" spans="1:10" ht="15" customHeight="1" x14ac:dyDescent="0.3">
      <c r="A4" s="22">
        <v>2017</v>
      </c>
      <c r="B4" s="22" t="s">
        <v>54</v>
      </c>
      <c r="C4" s="22" t="s">
        <v>49</v>
      </c>
      <c r="D4" s="22" t="s">
        <v>50</v>
      </c>
      <c r="E4" s="22">
        <v>6468</v>
      </c>
      <c r="F4" s="22"/>
      <c r="G4" s="22"/>
      <c r="H4" s="22">
        <v>1</v>
      </c>
      <c r="I4" s="22" t="s">
        <v>51</v>
      </c>
      <c r="J4" s="23">
        <f>IF($D4="LSF čempionatas",IFERROR($E4/SUMIFS(Parametrai!$B$2:$B$21,Parametrai!$A$2:$A$21,$A4)*SUMIFS(Parametrai!$E$2:$E$21,Parametrai!$A$2:$A$21,$A4),0),IF($D4="Kitos varžybos, deklaruotos reitingui",IFERROR($F4/MAX($G4,SUMIFS(Parametrai!$F$2:$F$21,Parametrai!$A$2:$A$21,$A4))*IF($H4="",1,$H4),0),IF($D4="Susikertančios su Lietuvos čempionatu",0.95*SUMIFS($J$2:$J$500,$B$2:$B$500,$B4,$A$2:$A$500,$A4-1),IF($D4="Papildomi (R+)",IFERROR(MAX(0,($F4-900)/1000),0),0))))</f>
        <v>0.78552343939761959</v>
      </c>
    </row>
    <row r="5" spans="1:10" ht="15" customHeight="1" x14ac:dyDescent="0.3">
      <c r="A5" s="22">
        <v>2017</v>
      </c>
      <c r="B5" s="22" t="s">
        <v>55</v>
      </c>
      <c r="C5" s="22" t="s">
        <v>56</v>
      </c>
      <c r="D5" s="22" t="s">
        <v>50</v>
      </c>
      <c r="E5" s="22">
        <v>7506</v>
      </c>
      <c r="F5" s="22"/>
      <c r="G5" s="22"/>
      <c r="H5" s="22">
        <v>1</v>
      </c>
      <c r="I5" s="22" t="s">
        <v>51</v>
      </c>
      <c r="J5" s="23">
        <f>IF($D5="LSF čempionatas",IFERROR($E5/SUMIFS(Parametrai!$B$2:$B$21,Parametrai!$A$2:$A$21,$A5)*SUMIFS(Parametrai!$E$2:$E$21,Parametrai!$A$2:$A$21,$A5),0),IF($D5="Kitos varžybos, deklaruotos reitingui",IFERROR($F5/MAX($G5,SUMIFS(Parametrai!$F$2:$F$21,Parametrai!$A$2:$A$21,$A5))*IF($H5="",1,$H5),0),IF($D5="Susikertančios su Lietuvos čempionatu",0.95*SUMIFS($J$2:$J$500,$B$2:$B$500,$B5,$A$2:$A$500,$A5-1),IF($D5="Papildomi (R+)",IFERROR(MAX(0,($F5-900)/1000),0),0))))</f>
        <v>0.91158610638814674</v>
      </c>
    </row>
    <row r="6" spans="1:10" ht="15" customHeight="1" x14ac:dyDescent="0.3">
      <c r="A6" s="22">
        <v>2017</v>
      </c>
      <c r="B6" s="22" t="s">
        <v>57</v>
      </c>
      <c r="C6" s="22" t="s">
        <v>53</v>
      </c>
      <c r="D6" s="22" t="s">
        <v>50</v>
      </c>
      <c r="E6" s="22">
        <v>7216</v>
      </c>
      <c r="F6" s="22"/>
      <c r="G6" s="22"/>
      <c r="H6" s="22">
        <v>1</v>
      </c>
      <c r="I6" s="22" t="s">
        <v>51</v>
      </c>
      <c r="J6" s="23">
        <f>IF($D6="LSF čempionatas",IFERROR($E6/SUMIFS(Parametrai!$B$2:$B$21,Parametrai!$A$2:$A$21,$A6)*SUMIFS(Parametrai!$E$2:$E$21,Parametrai!$A$2:$A$21,$A6),0),IF($D6="Kitos varžybos, deklaruotos reitingui",IFERROR($F6/MAX($G6,SUMIFS(Parametrai!$F$2:$F$21,Parametrai!$A$2:$A$21,$A6))*IF($H6="",1,$H6),0),IF($D6="Susikertančios su Lietuvos čempionatu",0.95*SUMIFS($J$2:$J$500,$B$2:$B$500,$B6,$A$2:$A$500,$A6-1),IF($D6="Papildomi (R+)",IFERROR(MAX(0,($F6-900)/1000),0),0))))</f>
        <v>0.87636628613067769</v>
      </c>
    </row>
    <row r="7" spans="1:10" ht="15" customHeight="1" x14ac:dyDescent="0.3">
      <c r="A7" s="22">
        <v>2017</v>
      </c>
      <c r="B7" s="22" t="s">
        <v>58</v>
      </c>
      <c r="C7" s="22" t="s">
        <v>59</v>
      </c>
      <c r="D7" s="22" t="s">
        <v>50</v>
      </c>
      <c r="E7" s="22">
        <v>8234</v>
      </c>
      <c r="F7" s="22"/>
      <c r="G7" s="22"/>
      <c r="H7" s="22">
        <v>1</v>
      </c>
      <c r="I7" s="22" t="s">
        <v>51</v>
      </c>
      <c r="J7" s="23">
        <f>IF($D7="LSF čempionatas",IFERROR($E7/SUMIFS(Parametrai!$B$2:$B$21,Parametrai!$A$2:$A$21,$A7)*SUMIFS(Parametrai!$E$2:$E$21,Parametrai!$A$2:$A$21,$A7),0),IF($D7="Kitos varžybos, deklaruotos reitingui",IFERROR($F7/MAX($G7,SUMIFS(Parametrai!$F$2:$F$21,Parametrai!$A$2:$A$21,$A7))*IF($H7="",1,$H7),0),IF($D7="Susikertančios su Lietuvos čempionatu",0.95*SUMIFS($J$2:$J$500,$B$2:$B$500,$B7,$A$2:$A$500,$A7-1),IF($D7="Papildomi (R+)",IFERROR(MAX(0,($F7-900)/1000),0),0))))</f>
        <v>1</v>
      </c>
    </row>
    <row r="8" spans="1:10" ht="15" customHeight="1" x14ac:dyDescent="0.3">
      <c r="A8" s="22">
        <v>2017</v>
      </c>
      <c r="B8" s="22" t="s">
        <v>60</v>
      </c>
      <c r="C8" s="22" t="s">
        <v>61</v>
      </c>
      <c r="D8" s="22" t="s">
        <v>50</v>
      </c>
      <c r="E8" s="22">
        <v>7456</v>
      </c>
      <c r="F8" s="22"/>
      <c r="G8" s="22"/>
      <c r="H8" s="22">
        <v>1</v>
      </c>
      <c r="I8" s="22" t="s">
        <v>51</v>
      </c>
      <c r="J8" s="23">
        <f>IF($D8="LSF čempionatas",IFERROR($E8/SUMIFS(Parametrai!$B$2:$B$21,Parametrai!$A$2:$A$21,$A8)*SUMIFS(Parametrai!$E$2:$E$21,Parametrai!$A$2:$A$21,$A8),0),IF($D8="Kitos varžybos, deklaruotos reitingui",IFERROR($F8/MAX($G8,SUMIFS(Parametrai!$F$2:$F$21,Parametrai!$A$2:$A$21,$A8))*IF($H8="",1,$H8),0),IF($D8="Susikertančios su Lietuvos čempionatu",0.95*SUMIFS($J$2:$J$500,$B$2:$B$500,$B8,$A$2:$A$500,$A8-1),IF($D8="Papildomi (R+)",IFERROR(MAX(0,($F8-900)/1000),0),0))))</f>
        <v>0.90551372358513482</v>
      </c>
    </row>
    <row r="9" spans="1:10" ht="15" customHeight="1" x14ac:dyDescent="0.3">
      <c r="A9" s="22">
        <v>2017</v>
      </c>
      <c r="B9" s="22" t="s">
        <v>62</v>
      </c>
      <c r="C9" s="22" t="s">
        <v>56</v>
      </c>
      <c r="D9" s="22" t="s">
        <v>50</v>
      </c>
      <c r="E9" s="22">
        <v>6981</v>
      </c>
      <c r="F9" s="22"/>
      <c r="G9" s="22"/>
      <c r="H9" s="22">
        <v>1</v>
      </c>
      <c r="I9" s="22" t="s">
        <v>51</v>
      </c>
      <c r="J9" s="23">
        <f>IF($D9="LSF čempionatas",IFERROR($E9/SUMIFS(Parametrai!$B$2:$B$21,Parametrai!$A$2:$A$21,$A9)*SUMIFS(Parametrai!$E$2:$E$21,Parametrai!$A$2:$A$21,$A9),0),IF($D9="Kitos varžybos, deklaruotos reitingui",IFERROR($F9/MAX($G9,SUMIFS(Parametrai!$F$2:$F$21,Parametrai!$A$2:$A$21,$A9))*IF($H9="",1,$H9),0),IF($D9="Susikertančios su Lietuvos čempionatu",0.95*SUMIFS($J$2:$J$500,$B$2:$B$500,$B9,$A$2:$A$500,$A9-1),IF($D9="Papildomi (R+)",IFERROR(MAX(0,($F9-900)/1000),0),0))))</f>
        <v>0.84782608695652173</v>
      </c>
    </row>
    <row r="10" spans="1:10" ht="15" customHeight="1" x14ac:dyDescent="0.3">
      <c r="A10" s="22">
        <v>2017</v>
      </c>
      <c r="B10" s="22" t="s">
        <v>63</v>
      </c>
      <c r="C10" s="22" t="s">
        <v>53</v>
      </c>
      <c r="D10" s="22" t="s">
        <v>50</v>
      </c>
      <c r="E10" s="22">
        <v>5825</v>
      </c>
      <c r="F10" s="22"/>
      <c r="G10" s="22"/>
      <c r="H10" s="22">
        <v>1</v>
      </c>
      <c r="I10" s="22" t="s">
        <v>51</v>
      </c>
      <c r="J10" s="23">
        <f>IF($D10="LSF čempionatas",IFERROR($E10/SUMIFS(Parametrai!$B$2:$B$21,Parametrai!$A$2:$A$21,$A10)*SUMIFS(Parametrai!$E$2:$E$21,Parametrai!$A$2:$A$21,$A10),0),IF($D10="Kitos varžybos, deklaruotos reitingui",IFERROR($F10/MAX($G10,SUMIFS(Parametrai!$F$2:$F$21,Parametrai!$A$2:$A$21,$A10))*IF($H10="",1,$H10),0),IF($D10="Susikertančios su Lietuvos čempionatu",0.95*SUMIFS($J$2:$J$500,$B$2:$B$500,$B10,$A$2:$A$500,$A10-1),IF($D10="Papildomi (R+)",IFERROR(MAX(0,($F10-900)/1000),0),0))))</f>
        <v>0.70743259655088653</v>
      </c>
    </row>
    <row r="11" spans="1:10" ht="15" customHeight="1" x14ac:dyDescent="0.3">
      <c r="A11" s="22">
        <v>2017</v>
      </c>
      <c r="B11" s="22" t="s">
        <v>64</v>
      </c>
      <c r="C11" s="22" t="s">
        <v>49</v>
      </c>
      <c r="D11" s="22" t="s">
        <v>50</v>
      </c>
      <c r="E11" s="22">
        <v>6570</v>
      </c>
      <c r="F11" s="22"/>
      <c r="G11" s="22"/>
      <c r="H11" s="22">
        <v>1</v>
      </c>
      <c r="I11" s="22" t="s">
        <v>51</v>
      </c>
      <c r="J11" s="23">
        <f>IF($D11="LSF čempionatas",IFERROR($E11/SUMIFS(Parametrai!$B$2:$B$21,Parametrai!$A$2:$A$21,$A11)*SUMIFS(Parametrai!$E$2:$E$21,Parametrai!$A$2:$A$21,$A11),0),IF($D11="Kitos varžybos, deklaruotos reitingui",IFERROR($F11/MAX($G11,SUMIFS(Parametrai!$F$2:$F$21,Parametrai!$A$2:$A$21,$A11))*IF($H11="",1,$H11),0),IF($D11="Susikertančios su Lietuvos čempionatu",0.95*SUMIFS($J$2:$J$500,$B$2:$B$500,$B11,$A$2:$A$500,$A11-1),IF($D11="Papildomi (R+)",IFERROR(MAX(0,($F11-900)/1000),0),0))))</f>
        <v>0.79791110031576395</v>
      </c>
    </row>
    <row r="12" spans="1:10" ht="15" customHeight="1" x14ac:dyDescent="0.3">
      <c r="A12" s="22">
        <v>2017</v>
      </c>
      <c r="B12" s="22" t="s">
        <v>65</v>
      </c>
      <c r="C12" s="22" t="s">
        <v>53</v>
      </c>
      <c r="D12" s="22" t="s">
        <v>50</v>
      </c>
      <c r="E12" s="22">
        <v>6353</v>
      </c>
      <c r="F12" s="22"/>
      <c r="G12" s="22"/>
      <c r="H12" s="22">
        <v>1</v>
      </c>
      <c r="I12" s="22" t="s">
        <v>51</v>
      </c>
      <c r="J12" s="23">
        <f>IF($D12="LSF čempionatas",IFERROR($E12/SUMIFS(Parametrai!$B$2:$B$21,Parametrai!$A$2:$A$21,$A12)*SUMIFS(Parametrai!$E$2:$E$21,Parametrai!$A$2:$A$21,$A12),0),IF($D12="Kitos varžybos, deklaruotos reitingui",IFERROR($F12/MAX($G12,SUMIFS(Parametrai!$F$2:$F$21,Parametrai!$A$2:$A$21,$A12))*IF($H12="",1,$H12),0),IF($D12="Susikertančios su Lietuvos čempionatu",0.95*SUMIFS($J$2:$J$500,$B$2:$B$500,$B12,$A$2:$A$500,$A12-1),IF($D12="Papildomi (R+)",IFERROR(MAX(0,($F12-900)/1000),0),0))))</f>
        <v>0.77155695895069221</v>
      </c>
    </row>
    <row r="13" spans="1:10" ht="15" customHeight="1" x14ac:dyDescent="0.3">
      <c r="A13" s="22">
        <v>2017</v>
      </c>
      <c r="B13" s="22" t="s">
        <v>66</v>
      </c>
      <c r="C13" s="22" t="s">
        <v>53</v>
      </c>
      <c r="D13" s="22" t="s">
        <v>50</v>
      </c>
      <c r="E13" s="22">
        <v>6320</v>
      </c>
      <c r="F13" s="22"/>
      <c r="G13" s="22"/>
      <c r="H13" s="22">
        <v>1</v>
      </c>
      <c r="I13" s="22" t="s">
        <v>51</v>
      </c>
      <c r="J13" s="23">
        <f>IF($D13="LSF čempionatas",IFERROR($E13/SUMIFS(Parametrai!$B$2:$B$21,Parametrai!$A$2:$A$21,$A13)*SUMIFS(Parametrai!$E$2:$E$21,Parametrai!$A$2:$A$21,$A13),0),IF($D13="Kitos varžybos, deklaruotos reitingui",IFERROR($F13/MAX($G13,SUMIFS(Parametrai!$F$2:$F$21,Parametrai!$A$2:$A$21,$A13))*IF($H13="",1,$H13),0),IF($D13="Susikertančios su Lietuvos čempionatu",0.95*SUMIFS($J$2:$J$500,$B$2:$B$500,$B13,$A$2:$A$500,$A13-1),IF($D13="Papildomi (R+)",IFERROR(MAX(0,($F13-900)/1000),0),0))))</f>
        <v>0.76754918630070434</v>
      </c>
    </row>
    <row r="14" spans="1:10" ht="15" customHeight="1" x14ac:dyDescent="0.3">
      <c r="A14" s="22">
        <v>2017</v>
      </c>
      <c r="B14" s="22" t="s">
        <v>67</v>
      </c>
      <c r="C14" s="22" t="s">
        <v>53</v>
      </c>
      <c r="D14" s="22" t="s">
        <v>50</v>
      </c>
      <c r="E14" s="22">
        <v>5358</v>
      </c>
      <c r="F14" s="22"/>
      <c r="G14" s="22"/>
      <c r="H14" s="22">
        <v>1</v>
      </c>
      <c r="I14" s="22" t="s">
        <v>51</v>
      </c>
      <c r="J14" s="23">
        <f>IF($D14="LSF čempionatas",IFERROR($E14/SUMIFS(Parametrai!$B$2:$B$21,Parametrai!$A$2:$A$21,$A14)*SUMIFS(Parametrai!$E$2:$E$21,Parametrai!$A$2:$A$21,$A14),0),IF($D14="Kitos varžybos, deklaruotos reitingui",IFERROR($F14/MAX($G14,SUMIFS(Parametrai!$F$2:$F$21,Parametrai!$A$2:$A$21,$A14))*IF($H14="",1,$H14),0),IF($D14="Susikertančios su Lietuvos čempionatu",0.95*SUMIFS($J$2:$J$500,$B$2:$B$500,$B14,$A$2:$A$500,$A14-1),IF($D14="Papildomi (R+)",IFERROR(MAX(0,($F14-900)/1000),0),0))))</f>
        <v>0.65071654117075539</v>
      </c>
    </row>
    <row r="15" spans="1:10" ht="15" customHeight="1" x14ac:dyDescent="0.3">
      <c r="A15" s="22">
        <v>2017</v>
      </c>
      <c r="B15" s="22" t="s">
        <v>68</v>
      </c>
      <c r="C15" s="22" t="s">
        <v>69</v>
      </c>
      <c r="D15" s="22" t="s">
        <v>50</v>
      </c>
      <c r="E15" s="22">
        <v>5997</v>
      </c>
      <c r="F15" s="22"/>
      <c r="G15" s="22"/>
      <c r="H15" s="22">
        <v>1</v>
      </c>
      <c r="I15" s="22" t="s">
        <v>51</v>
      </c>
      <c r="J15" s="23">
        <f>IF($D15="LSF čempionatas",IFERROR($E15/SUMIFS(Parametrai!$B$2:$B$21,Parametrai!$A$2:$A$21,$A15)*SUMIFS(Parametrai!$E$2:$E$21,Parametrai!$A$2:$A$21,$A15),0),IF($D15="Kitos varžybos, deklaruotos reitingui",IFERROR($F15/MAX($G15,SUMIFS(Parametrai!$F$2:$F$21,Parametrai!$A$2:$A$21,$A15))*IF($H15="",1,$H15),0),IF($D15="Susikertančios su Lietuvos čempionatu",0.95*SUMIFS($J$2:$J$500,$B$2:$B$500,$B15,$A$2:$A$500,$A15-1),IF($D15="Papildomi (R+)",IFERROR(MAX(0,($F15-900)/1000),0),0))))</f>
        <v>0.72832159339324753</v>
      </c>
    </row>
    <row r="16" spans="1:10" ht="15" customHeight="1" x14ac:dyDescent="0.3">
      <c r="A16" s="22">
        <v>2017</v>
      </c>
      <c r="B16" s="22" t="s">
        <v>70</v>
      </c>
      <c r="C16" s="22" t="s">
        <v>53</v>
      </c>
      <c r="D16" s="22" t="s">
        <v>50</v>
      </c>
      <c r="E16" s="22">
        <v>4725</v>
      </c>
      <c r="F16" s="22"/>
      <c r="G16" s="22"/>
      <c r="H16" s="22">
        <v>1</v>
      </c>
      <c r="I16" s="22" t="s">
        <v>51</v>
      </c>
      <c r="J16" s="23">
        <f>IF($D16="LSF čempionatas",IFERROR($E16/SUMIFS(Parametrai!$B$2:$B$21,Parametrai!$A$2:$A$21,$A16)*SUMIFS(Parametrai!$E$2:$E$21,Parametrai!$A$2:$A$21,$A16),0),IF($D16="Kitos varžybos, deklaruotos reitingui",IFERROR($F16/MAX($G16,SUMIFS(Parametrai!$F$2:$F$21,Parametrai!$A$2:$A$21,$A16))*IF($H16="",1,$H16),0),IF($D16="Susikertančios su Lietuvos čempionatu",0.95*SUMIFS($J$2:$J$500,$B$2:$B$500,$B16,$A$2:$A$500,$A16-1),IF($D16="Papildomi (R+)",IFERROR(MAX(0,($F16-900)/1000),0),0))))</f>
        <v>0.57384017488462469</v>
      </c>
    </row>
    <row r="17" spans="1:10" ht="15" customHeight="1" x14ac:dyDescent="0.3">
      <c r="A17" s="22">
        <v>2017</v>
      </c>
      <c r="B17" s="22" t="s">
        <v>71</v>
      </c>
      <c r="C17" s="22" t="s">
        <v>53</v>
      </c>
      <c r="D17" s="22" t="s">
        <v>50</v>
      </c>
      <c r="E17" s="22">
        <v>4463</v>
      </c>
      <c r="F17" s="22"/>
      <c r="G17" s="22"/>
      <c r="H17" s="22">
        <v>1</v>
      </c>
      <c r="I17" s="22" t="s">
        <v>51</v>
      </c>
      <c r="J17" s="23">
        <f>IF($D17="LSF čempionatas",IFERROR($E17/SUMIFS(Parametrai!$B$2:$B$21,Parametrai!$A$2:$A$21,$A17)*SUMIFS(Parametrai!$E$2:$E$21,Parametrai!$A$2:$A$21,$A17),0),IF($D17="Kitos varžybos, deklaruotos reitingui",IFERROR($F17/MAX($G17,SUMIFS(Parametrai!$F$2:$F$21,Parametrai!$A$2:$A$21,$A17))*IF($H17="",1,$H17),0),IF($D17="Susikertančios su Lietuvos čempionatu",0.95*SUMIFS($J$2:$J$500,$B$2:$B$500,$B17,$A$2:$A$500,$A17-1),IF($D17="Papildomi (R+)",IFERROR(MAX(0,($F17-900)/1000),0),0))))</f>
        <v>0.54202088899684231</v>
      </c>
    </row>
    <row r="18" spans="1:10" ht="15" customHeight="1" x14ac:dyDescent="0.3">
      <c r="A18" s="22">
        <v>2017</v>
      </c>
      <c r="B18" s="22" t="s">
        <v>72</v>
      </c>
      <c r="C18" s="22" t="s">
        <v>53</v>
      </c>
      <c r="D18" s="22" t="s">
        <v>50</v>
      </c>
      <c r="E18" s="22">
        <v>7305</v>
      </c>
      <c r="F18" s="22"/>
      <c r="G18" s="22"/>
      <c r="H18" s="22">
        <v>1</v>
      </c>
      <c r="I18" s="22" t="s">
        <v>51</v>
      </c>
      <c r="J18" s="23">
        <f>IF($D18="LSF čempionatas",IFERROR($E18/SUMIFS(Parametrai!$B$2:$B$21,Parametrai!$A$2:$A$21,$A18)*SUMIFS(Parametrai!$E$2:$E$21,Parametrai!$A$2:$A$21,$A18),0),IF($D18="Kitos varžybos, deklaruotos reitingui",IFERROR($F18/MAX($G18,SUMIFS(Parametrai!$F$2:$F$21,Parametrai!$A$2:$A$21,$A18))*IF($H18="",1,$H18),0),IF($D18="Susikertančios su Lietuvos čempionatu",0.95*SUMIFS($J$2:$J$500,$B$2:$B$500,$B18,$A$2:$A$500,$A18-1),IF($D18="Papildomi (R+)",IFERROR(MAX(0,($F18-900)/1000),0),0))))</f>
        <v>0.88717512752003891</v>
      </c>
    </row>
    <row r="19" spans="1:10" ht="15" customHeight="1" x14ac:dyDescent="0.3">
      <c r="A19" s="22">
        <v>2017</v>
      </c>
      <c r="B19" s="22" t="s">
        <v>73</v>
      </c>
      <c r="C19" s="22" t="s">
        <v>53</v>
      </c>
      <c r="D19" s="22" t="s">
        <v>50</v>
      </c>
      <c r="E19" s="22">
        <v>6280</v>
      </c>
      <c r="F19" s="22"/>
      <c r="G19" s="22"/>
      <c r="H19" s="22">
        <v>1</v>
      </c>
      <c r="I19" s="22" t="s">
        <v>51</v>
      </c>
      <c r="J19" s="23">
        <f>IF($D19="LSF čempionatas",IFERROR($E19/SUMIFS(Parametrai!$B$2:$B$21,Parametrai!$A$2:$A$21,$A19)*SUMIFS(Parametrai!$E$2:$E$21,Parametrai!$A$2:$A$21,$A19),0),IF($D19="Kitos varžybos, deklaruotos reitingui",IFERROR($F19/MAX($G19,SUMIFS(Parametrai!$F$2:$F$21,Parametrai!$A$2:$A$21,$A19))*IF($H19="",1,$H19),0),IF($D19="Susikertančios su Lietuvos čempionatu",0.95*SUMIFS($J$2:$J$500,$B$2:$B$500,$B19,$A$2:$A$500,$A19-1),IF($D19="Papildomi (R+)",IFERROR(MAX(0,($F19-900)/1000),0),0))))</f>
        <v>0.7626912800582949</v>
      </c>
    </row>
    <row r="20" spans="1:10" ht="15" customHeight="1" x14ac:dyDescent="0.3">
      <c r="A20" s="22">
        <v>2017</v>
      </c>
      <c r="B20" s="22" t="s">
        <v>74</v>
      </c>
      <c r="C20" s="22" t="s">
        <v>53</v>
      </c>
      <c r="D20" s="22" t="s">
        <v>50</v>
      </c>
      <c r="E20" s="22">
        <v>5732</v>
      </c>
      <c r="F20" s="22"/>
      <c r="G20" s="22"/>
      <c r="H20" s="22">
        <v>1</v>
      </c>
      <c r="I20" s="22" t="s">
        <v>51</v>
      </c>
      <c r="J20" s="23">
        <f>IF($D20="LSF čempionatas",IFERROR($E20/SUMIFS(Parametrai!$B$2:$B$21,Parametrai!$A$2:$A$21,$A20)*SUMIFS(Parametrai!$E$2:$E$21,Parametrai!$A$2:$A$21,$A20),0),IF($D20="Kitos varžybos, deklaruotos reitingui",IFERROR($F20/MAX($G20,SUMIFS(Parametrai!$F$2:$F$21,Parametrai!$A$2:$A$21,$A20))*IF($H20="",1,$H20),0),IF($D20="Susikertančios su Lietuvos čempionatu",0.95*SUMIFS($J$2:$J$500,$B$2:$B$500,$B20,$A$2:$A$500,$A20-1),IF($D20="Papildomi (R+)",IFERROR(MAX(0,($F20-900)/1000),0),0))))</f>
        <v>0.69613796453728438</v>
      </c>
    </row>
    <row r="21" spans="1:10" ht="15" customHeight="1" x14ac:dyDescent="0.3">
      <c r="A21" s="22">
        <v>2017</v>
      </c>
      <c r="B21" s="22" t="s">
        <v>75</v>
      </c>
      <c r="C21" s="22" t="s">
        <v>56</v>
      </c>
      <c r="D21" s="22" t="s">
        <v>50</v>
      </c>
      <c r="E21" s="22">
        <v>7013</v>
      </c>
      <c r="F21" s="22"/>
      <c r="G21" s="22"/>
      <c r="H21" s="22">
        <v>1</v>
      </c>
      <c r="I21" s="22" t="s">
        <v>51</v>
      </c>
      <c r="J21" s="23">
        <f>IF($D21="LSF čempionatas",IFERROR($E21/SUMIFS(Parametrai!$B$2:$B$21,Parametrai!$A$2:$A$21,$A21)*SUMIFS(Parametrai!$E$2:$E$21,Parametrai!$A$2:$A$21,$A21),0),IF($D21="Kitos varžybos, deklaruotos reitingui",IFERROR($F21/MAX($G21,SUMIFS(Parametrai!$F$2:$F$21,Parametrai!$A$2:$A$21,$A21))*IF($H21="",1,$H21),0),IF($D21="Susikertančios su Lietuvos čempionatu",0.95*SUMIFS($J$2:$J$500,$B$2:$B$500,$B21,$A$2:$A$500,$A21-1),IF($D21="Papildomi (R+)",IFERROR(MAX(0,($F21-900)/1000),0),0))))</f>
        <v>0.85171241195044933</v>
      </c>
    </row>
    <row r="22" spans="1:10" ht="15" customHeight="1" x14ac:dyDescent="0.3">
      <c r="A22" s="22">
        <v>2018</v>
      </c>
      <c r="B22" s="22" t="s">
        <v>48</v>
      </c>
      <c r="C22" s="22" t="s">
        <v>49</v>
      </c>
      <c r="D22" s="22" t="s">
        <v>50</v>
      </c>
      <c r="E22" s="22">
        <v>9245</v>
      </c>
      <c r="F22" s="22"/>
      <c r="G22" s="22"/>
      <c r="H22" s="22">
        <v>1</v>
      </c>
      <c r="I22" s="22" t="s">
        <v>51</v>
      </c>
      <c r="J22" s="23">
        <f>IF($D22="LSF čempionatas",IFERROR($E22/SUMIFS(Parametrai!$B$2:$B$21,Parametrai!$A$2:$A$21,$A22)*SUMIFS(Parametrai!$E$2:$E$21,Parametrai!$A$2:$A$21,$A22),0),IF($D22="Kitos varžybos, deklaruotos reitingui",IFERROR($F22/MAX($G22,SUMIFS(Parametrai!$F$2:$F$21,Parametrai!$A$2:$A$21,$A22))*IF($H22="",1,$H22),0),IF($D22="Susikertančios su Lietuvos čempionatu",0.95*SUMIFS($J$2:$J$500,$B$2:$B$500,$B22,$A$2:$A$500,$A22-1),IF($D22="Papildomi (R+)",IFERROR(MAX(0,($F22-900)/1000),0),0))))</f>
        <v>0.9833014252286747</v>
      </c>
    </row>
    <row r="23" spans="1:10" ht="15" customHeight="1" x14ac:dyDescent="0.3">
      <c r="A23" s="22">
        <v>2018</v>
      </c>
      <c r="B23" s="22" t="s">
        <v>76</v>
      </c>
      <c r="C23" s="22" t="s">
        <v>61</v>
      </c>
      <c r="D23" s="22" t="s">
        <v>50</v>
      </c>
      <c r="E23" s="22">
        <v>2636</v>
      </c>
      <c r="F23" s="22"/>
      <c r="G23" s="22"/>
      <c r="H23" s="22">
        <v>1</v>
      </c>
      <c r="I23" s="22" t="s">
        <v>51</v>
      </c>
      <c r="J23" s="23">
        <f>IF($D23="LSF čempionatas",IFERROR($E23/SUMIFS(Parametrai!$B$2:$B$21,Parametrai!$A$2:$A$21,$A23)*SUMIFS(Parametrai!$E$2:$E$21,Parametrai!$A$2:$A$21,$A23),0),IF($D23="Kitos varžybos, deklaruotos reitingui",IFERROR($F23/MAX($G23,SUMIFS(Parametrai!$F$2:$F$21,Parametrai!$A$2:$A$21,$A23))*IF($H23="",1,$H23),0),IF($D23="Susikertančios su Lietuvos čempionatu",0.95*SUMIFS($J$2:$J$500,$B$2:$B$500,$B23,$A$2:$A$500,$A23-1),IF($D23="Papildomi (R+)",IFERROR(MAX(0,($F23-900)/1000),0),0))))</f>
        <v>0.28036587960008508</v>
      </c>
    </row>
    <row r="24" spans="1:10" ht="15" customHeight="1" x14ac:dyDescent="0.3">
      <c r="A24" s="22">
        <v>2018</v>
      </c>
      <c r="B24" s="22" t="s">
        <v>55</v>
      </c>
      <c r="C24" s="22" t="s">
        <v>56</v>
      </c>
      <c r="D24" s="22" t="s">
        <v>50</v>
      </c>
      <c r="E24" s="22">
        <v>8387</v>
      </c>
      <c r="F24" s="22"/>
      <c r="G24" s="22"/>
      <c r="H24" s="22">
        <v>1</v>
      </c>
      <c r="I24" s="22" t="s">
        <v>51</v>
      </c>
      <c r="J24" s="23">
        <f>IF($D24="LSF čempionatas",IFERROR($E24/SUMIFS(Parametrai!$B$2:$B$21,Parametrai!$A$2:$A$21,$A24)*SUMIFS(Parametrai!$E$2:$E$21,Parametrai!$A$2:$A$21,$A24),0),IF($D24="Kitos varžybos, deklaruotos reitingui",IFERROR($F24/MAX($G24,SUMIFS(Parametrai!$F$2:$F$21,Parametrai!$A$2:$A$21,$A24))*IF($H24="",1,$H24),0),IF($D24="Susikertančios su Lietuvos čempionatu",0.95*SUMIFS($J$2:$J$500,$B$2:$B$500,$B24,$A$2:$A$500,$A24-1),IF($D24="Papildomi (R+)",IFERROR(MAX(0,($F24-900)/1000),0),0))))</f>
        <v>0.89204424590512654</v>
      </c>
    </row>
    <row r="25" spans="1:10" ht="15" customHeight="1" x14ac:dyDescent="0.3">
      <c r="A25" s="22">
        <v>2018</v>
      </c>
      <c r="B25" s="22" t="s">
        <v>57</v>
      </c>
      <c r="C25" s="22" t="s">
        <v>53</v>
      </c>
      <c r="D25" s="22" t="s">
        <v>50</v>
      </c>
      <c r="E25" s="22">
        <v>9289</v>
      </c>
      <c r="F25" s="22"/>
      <c r="G25" s="22"/>
      <c r="H25" s="22">
        <v>1</v>
      </c>
      <c r="I25" s="22" t="s">
        <v>51</v>
      </c>
      <c r="J25" s="23">
        <f>IF($D25="LSF čempionatas",IFERROR($E25/SUMIFS(Parametrai!$B$2:$B$21,Parametrai!$A$2:$A$21,$A25)*SUMIFS(Parametrai!$E$2:$E$21,Parametrai!$A$2:$A$21,$A25),0),IF($D25="Kitos varžybos, deklaruotos reitingui",IFERROR($F25/MAX($G25,SUMIFS(Parametrai!$F$2:$F$21,Parametrai!$A$2:$A$21,$A25))*IF($H25="",1,$H25),0),IF($D25="Susikertančios su Lietuvos čempionatu",0.95*SUMIFS($J$2:$J$500,$B$2:$B$500,$B25,$A$2:$A$500,$A25-1),IF($D25="Papildomi (R+)",IFERROR(MAX(0,($F25-900)/1000),0),0))))</f>
        <v>0.98798128057860035</v>
      </c>
    </row>
    <row r="26" spans="1:10" ht="15" customHeight="1" x14ac:dyDescent="0.3">
      <c r="A26" s="22">
        <v>2018</v>
      </c>
      <c r="B26" s="22" t="s">
        <v>58</v>
      </c>
      <c r="C26" s="22" t="s">
        <v>59</v>
      </c>
      <c r="D26" s="22" t="s">
        <v>50</v>
      </c>
      <c r="E26" s="22">
        <v>9212</v>
      </c>
      <c r="F26" s="22"/>
      <c r="G26" s="22"/>
      <c r="H26" s="22">
        <v>1</v>
      </c>
      <c r="I26" s="22" t="s">
        <v>51</v>
      </c>
      <c r="J26" s="23">
        <f>IF($D26="LSF čempionatas",IFERROR($E26/SUMIFS(Parametrai!$B$2:$B$21,Parametrai!$A$2:$A$21,$A26)*SUMIFS(Parametrai!$E$2:$E$21,Parametrai!$A$2:$A$21,$A26),0),IF($D26="Kitos varžybos, deklaruotos reitingui",IFERROR($F26/MAX($G26,SUMIFS(Parametrai!$F$2:$F$21,Parametrai!$A$2:$A$21,$A26))*IF($H26="",1,$H26),0),IF($D26="Susikertančios su Lietuvos čempionatu",0.95*SUMIFS($J$2:$J$500,$B$2:$B$500,$B26,$A$2:$A$500,$A26-1),IF($D26="Papildomi (R+)",IFERROR(MAX(0,($F26-900)/1000),0),0))))</f>
        <v>0.97979153371623062</v>
      </c>
    </row>
    <row r="27" spans="1:10" ht="15" customHeight="1" x14ac:dyDescent="0.3">
      <c r="A27" s="22">
        <v>2018</v>
      </c>
      <c r="B27" s="22" t="s">
        <v>60</v>
      </c>
      <c r="C27" s="22" t="s">
        <v>61</v>
      </c>
      <c r="D27" s="22" t="s">
        <v>50</v>
      </c>
      <c r="E27" s="22">
        <v>8853</v>
      </c>
      <c r="F27" s="22"/>
      <c r="G27" s="22"/>
      <c r="H27" s="22">
        <v>1</v>
      </c>
      <c r="I27" s="22" t="s">
        <v>51</v>
      </c>
      <c r="J27" s="23">
        <f>IF($D27="LSF čempionatas",IFERROR($E27/SUMIFS(Parametrai!$B$2:$B$21,Parametrai!$A$2:$A$21,$A27)*SUMIFS(Parametrai!$E$2:$E$21,Parametrai!$A$2:$A$21,$A27),0),IF($D27="Kitos varžybos, deklaruotos reitingui",IFERROR($F27/MAX($G27,SUMIFS(Parametrai!$F$2:$F$21,Parametrai!$A$2:$A$21,$A27))*IF($H27="",1,$H27),0),IF($D27="Susikertančios su Lietuvos čempionatu",0.95*SUMIFS($J$2:$J$500,$B$2:$B$500,$B27,$A$2:$A$500,$A27-1),IF($D27="Papildomi (R+)",IFERROR(MAX(0,($F27-900)/1000),0),0))))</f>
        <v>0.94160816847479256</v>
      </c>
    </row>
    <row r="28" spans="1:10" ht="15" customHeight="1" x14ac:dyDescent="0.3">
      <c r="A28" s="22">
        <v>2018</v>
      </c>
      <c r="B28" s="22" t="s">
        <v>62</v>
      </c>
      <c r="C28" s="22" t="s">
        <v>56</v>
      </c>
      <c r="D28" s="22" t="s">
        <v>50</v>
      </c>
      <c r="E28" s="22">
        <v>9402</v>
      </c>
      <c r="F28" s="22"/>
      <c r="G28" s="22"/>
      <c r="H28" s="22">
        <v>1</v>
      </c>
      <c r="I28" s="22" t="s">
        <v>51</v>
      </c>
      <c r="J28" s="23">
        <f>IF($D28="LSF čempionatas",IFERROR($E28/SUMIFS(Parametrai!$B$2:$B$21,Parametrai!$A$2:$A$21,$A28)*SUMIFS(Parametrai!$E$2:$E$21,Parametrai!$A$2:$A$21,$A28),0),IF($D28="Kitos varžybos, deklaruotos reitingui",IFERROR($F28/MAX($G28,SUMIFS(Parametrai!$F$2:$F$21,Parametrai!$A$2:$A$21,$A28))*IF($H28="",1,$H28),0),IF($D28="Susikertančios su Lietuvos čempionatu",0.95*SUMIFS($J$2:$J$500,$B$2:$B$500,$B28,$A$2:$A$500,$A28-1),IF($D28="Papildomi (R+)",IFERROR(MAX(0,($F28-900)/1000),0),0))))</f>
        <v>1</v>
      </c>
    </row>
    <row r="29" spans="1:10" ht="15" customHeight="1" x14ac:dyDescent="0.3">
      <c r="A29" s="22">
        <v>2018</v>
      </c>
      <c r="B29" s="22" t="s">
        <v>77</v>
      </c>
      <c r="C29" s="22" t="s">
        <v>49</v>
      </c>
      <c r="D29" s="22" t="s">
        <v>50</v>
      </c>
      <c r="E29" s="22">
        <v>4403</v>
      </c>
      <c r="F29" s="22"/>
      <c r="G29" s="22"/>
      <c r="H29" s="22">
        <v>1</v>
      </c>
      <c r="I29" s="22" t="s">
        <v>51</v>
      </c>
      <c r="J29" s="23">
        <f>IF($D29="LSF čempionatas",IFERROR($E29/SUMIFS(Parametrai!$B$2:$B$21,Parametrai!$A$2:$A$21,$A29)*SUMIFS(Parametrai!$E$2:$E$21,Parametrai!$A$2:$A$21,$A29),0),IF($D29="Kitos varžybos, deklaruotos reitingui",IFERROR($F29/MAX($G29,SUMIFS(Parametrai!$F$2:$F$21,Parametrai!$A$2:$A$21,$A29))*IF($H29="",1,$H29),0),IF($D29="Susikertančios su Lietuvos čempionatu",0.95*SUMIFS($J$2:$J$500,$B$2:$B$500,$B29,$A$2:$A$500,$A29-1),IF($D29="Papildomi (R+)",IFERROR(MAX(0,($F29-900)/1000),0),0))))</f>
        <v>0.46830461603914059</v>
      </c>
    </row>
    <row r="30" spans="1:10" ht="15" customHeight="1" x14ac:dyDescent="0.3">
      <c r="A30" s="22">
        <v>2018</v>
      </c>
      <c r="B30" s="22" t="s">
        <v>64</v>
      </c>
      <c r="C30" s="22" t="s">
        <v>49</v>
      </c>
      <c r="D30" s="22" t="s">
        <v>50</v>
      </c>
      <c r="E30" s="22">
        <v>8983</v>
      </c>
      <c r="F30" s="22"/>
      <c r="G30" s="22"/>
      <c r="H30" s="22">
        <v>1</v>
      </c>
      <c r="I30" s="22" t="s">
        <v>51</v>
      </c>
      <c r="J30" s="23">
        <f>IF($D30="LSF čempionatas",IFERROR($E30/SUMIFS(Parametrai!$B$2:$B$21,Parametrai!$A$2:$A$21,$A30)*SUMIFS(Parametrai!$E$2:$E$21,Parametrai!$A$2:$A$21,$A30),0),IF($D30="Kitos varžybos, deklaruotos reitingui",IFERROR($F30/MAX($G30,SUMIFS(Parametrai!$F$2:$F$21,Parametrai!$A$2:$A$21,$A30))*IF($H30="",1,$H30),0),IF($D30="Susikertančios su Lietuvos čempionatu",0.95*SUMIFS($J$2:$J$500,$B$2:$B$500,$B30,$A$2:$A$500,$A30-1),IF($D30="Papildomi (R+)",IFERROR(MAX(0,($F30-900)/1000),0),0))))</f>
        <v>0.95543501382684537</v>
      </c>
    </row>
    <row r="31" spans="1:10" ht="15" customHeight="1" x14ac:dyDescent="0.3">
      <c r="A31" s="22">
        <v>2018</v>
      </c>
      <c r="B31" s="22" t="s">
        <v>65</v>
      </c>
      <c r="C31" s="22" t="s">
        <v>53</v>
      </c>
      <c r="D31" s="22" t="s">
        <v>50</v>
      </c>
      <c r="E31" s="22">
        <v>8403</v>
      </c>
      <c r="F31" s="22"/>
      <c r="G31" s="22"/>
      <c r="H31" s="22">
        <v>1</v>
      </c>
      <c r="I31" s="22" t="s">
        <v>51</v>
      </c>
      <c r="J31" s="23">
        <f>IF($D31="LSF čempionatas",IFERROR($E31/SUMIFS(Parametrai!$B$2:$B$21,Parametrai!$A$2:$A$21,$A31)*SUMIFS(Parametrai!$E$2:$E$21,Parametrai!$A$2:$A$21,$A31),0),IF($D31="Kitos varžybos, deklaruotos reitingui",IFERROR($F31/MAX($G31,SUMIFS(Parametrai!$F$2:$F$21,Parametrai!$A$2:$A$21,$A31))*IF($H31="",1,$H31),0),IF($D31="Susikertančios su Lietuvos čempionatu",0.95*SUMIFS($J$2:$J$500,$B$2:$B$500,$B31,$A$2:$A$500,$A31-1),IF($D31="Papildomi (R+)",IFERROR(MAX(0,($F31-900)/1000),0),0))))</f>
        <v>0.89374601148691768</v>
      </c>
    </row>
    <row r="32" spans="1:10" ht="15" customHeight="1" x14ac:dyDescent="0.3">
      <c r="A32" s="22">
        <v>2018</v>
      </c>
      <c r="B32" s="22" t="s">
        <v>78</v>
      </c>
      <c r="C32" s="22" t="s">
        <v>53</v>
      </c>
      <c r="D32" s="22" t="s">
        <v>50</v>
      </c>
      <c r="E32" s="22">
        <v>5432</v>
      </c>
      <c r="F32" s="22"/>
      <c r="G32" s="22"/>
      <c r="H32" s="22">
        <v>1</v>
      </c>
      <c r="I32" s="22" t="s">
        <v>51</v>
      </c>
      <c r="J32" s="23">
        <f>IF($D32="LSF čempionatas",IFERROR($E32/SUMIFS(Parametrai!$B$2:$B$21,Parametrai!$A$2:$A$21,$A32)*SUMIFS(Parametrai!$E$2:$E$21,Parametrai!$A$2:$A$21,$A32),0),IF($D32="Kitos varžybos, deklaruotos reitingui",IFERROR($F32/MAX($G32,SUMIFS(Parametrai!$F$2:$F$21,Parametrai!$A$2:$A$21,$A32))*IF($H32="",1,$H32),0),IF($D32="Susikertančios su Lietuvos čempionatu",0.95*SUMIFS($J$2:$J$500,$B$2:$B$500,$B32,$A$2:$A$500,$A32-1),IF($D32="Papildomi (R+)",IFERROR(MAX(0,($F32-900)/1000),0),0))))</f>
        <v>0.5777494150180813</v>
      </c>
    </row>
    <row r="33" spans="1:10" ht="15" customHeight="1" x14ac:dyDescent="0.3">
      <c r="A33" s="22">
        <v>2018</v>
      </c>
      <c r="B33" s="22" t="s">
        <v>67</v>
      </c>
      <c r="C33" s="22" t="s">
        <v>53</v>
      </c>
      <c r="D33" s="22" t="s">
        <v>50</v>
      </c>
      <c r="E33" s="22">
        <v>8552</v>
      </c>
      <c r="F33" s="22"/>
      <c r="G33" s="22"/>
      <c r="H33" s="22">
        <v>1</v>
      </c>
      <c r="I33" s="22" t="s">
        <v>51</v>
      </c>
      <c r="J33" s="23">
        <f>IF($D33="LSF čempionatas",IFERROR($E33/SUMIFS(Parametrai!$B$2:$B$21,Parametrai!$A$2:$A$21,$A33)*SUMIFS(Parametrai!$E$2:$E$21,Parametrai!$A$2:$A$21,$A33),0),IF($D33="Kitos varžybos, deklaruotos reitingui",IFERROR($F33/MAX($G33,SUMIFS(Parametrai!$F$2:$F$21,Parametrai!$A$2:$A$21,$A33))*IF($H33="",1,$H33),0),IF($D33="Susikertančios su Lietuvos čempionatu",0.95*SUMIFS($J$2:$J$500,$B$2:$B$500,$B33,$A$2:$A$500,$A33-1),IF($D33="Papildomi (R+)",IFERROR(MAX(0,($F33-900)/1000),0),0))))</f>
        <v>0.90959370346734736</v>
      </c>
    </row>
    <row r="34" spans="1:10" ht="15" customHeight="1" x14ac:dyDescent="0.3">
      <c r="A34" s="22">
        <v>2018</v>
      </c>
      <c r="B34" s="22" t="s">
        <v>68</v>
      </c>
      <c r="C34" s="22" t="s">
        <v>69</v>
      </c>
      <c r="D34" s="22" t="s">
        <v>50</v>
      </c>
      <c r="E34" s="22">
        <v>8586</v>
      </c>
      <c r="F34" s="22"/>
      <c r="G34" s="22"/>
      <c r="H34" s="22">
        <v>1</v>
      </c>
      <c r="I34" s="22" t="s">
        <v>51</v>
      </c>
      <c r="J34" s="23">
        <f>IF($D34="LSF čempionatas",IFERROR($E34/SUMIFS(Parametrai!$B$2:$B$21,Parametrai!$A$2:$A$21,$A34)*SUMIFS(Parametrai!$E$2:$E$21,Parametrai!$A$2:$A$21,$A34),0),IF($D34="Kitos varžybos, deklaruotos reitingui",IFERROR($F34/MAX($G34,SUMIFS(Parametrai!$F$2:$F$21,Parametrai!$A$2:$A$21,$A34))*IF($H34="",1,$H34),0),IF($D34="Susikertančios su Lietuvos čempionatu",0.95*SUMIFS($J$2:$J$500,$B$2:$B$500,$B34,$A$2:$A$500,$A34-1),IF($D34="Papildomi (R+)",IFERROR(MAX(0,($F34-900)/1000),0),0))))</f>
        <v>0.91320995532865346</v>
      </c>
    </row>
    <row r="35" spans="1:10" ht="15" customHeight="1" x14ac:dyDescent="0.3">
      <c r="A35" s="22">
        <v>2018</v>
      </c>
      <c r="B35" s="22" t="s">
        <v>79</v>
      </c>
      <c r="C35" s="22" t="s">
        <v>49</v>
      </c>
      <c r="D35" s="22" t="s">
        <v>50</v>
      </c>
      <c r="E35" s="22">
        <v>4660</v>
      </c>
      <c r="F35" s="22"/>
      <c r="G35" s="22"/>
      <c r="H35" s="22">
        <v>1</v>
      </c>
      <c r="I35" s="22" t="s">
        <v>51</v>
      </c>
      <c r="J35" s="23">
        <f>IF($D35="LSF čempionatas",IFERROR($E35/SUMIFS(Parametrai!$B$2:$B$21,Parametrai!$A$2:$A$21,$A35)*SUMIFS(Parametrai!$E$2:$E$21,Parametrai!$A$2:$A$21,$A35),0),IF($D35="Kitos varžybos, deklaruotos reitingui",IFERROR($F35/MAX($G35,SUMIFS(Parametrai!$F$2:$F$21,Parametrai!$A$2:$A$21,$A35))*IF($H35="",1,$H35),0),IF($D35="Susikertančios su Lietuvos čempionatu",0.95*SUMIFS($J$2:$J$500,$B$2:$B$500,$B35,$A$2:$A$500,$A35-1),IF($D35="Papildomi (R+)",IFERROR(MAX(0,($F35-900)/1000),0),0))))</f>
        <v>0.4956392256966603</v>
      </c>
    </row>
    <row r="36" spans="1:10" ht="15" customHeight="1" x14ac:dyDescent="0.3">
      <c r="A36" s="22">
        <v>2018</v>
      </c>
      <c r="B36" s="22" t="s">
        <v>70</v>
      </c>
      <c r="C36" s="22" t="s">
        <v>53</v>
      </c>
      <c r="D36" s="22" t="s">
        <v>50</v>
      </c>
      <c r="E36" s="22">
        <v>5443</v>
      </c>
      <c r="F36" s="22"/>
      <c r="G36" s="22"/>
      <c r="H36" s="22">
        <v>1</v>
      </c>
      <c r="I36" s="22" t="s">
        <v>51</v>
      </c>
      <c r="J36" s="23">
        <f>IF($D36="LSF čempionatas",IFERROR($E36/SUMIFS(Parametrai!$B$2:$B$21,Parametrai!$A$2:$A$21,$A36)*SUMIFS(Parametrai!$E$2:$E$21,Parametrai!$A$2:$A$21,$A36),0),IF($D36="Kitos varžybos, deklaruotos reitingui",IFERROR($F36/MAX($G36,SUMIFS(Parametrai!$F$2:$F$21,Parametrai!$A$2:$A$21,$A36))*IF($H36="",1,$H36),0),IF($D36="Susikertančios su Lietuvos čempionatu",0.95*SUMIFS($J$2:$J$500,$B$2:$B$500,$B36,$A$2:$A$500,$A36-1),IF($D36="Papildomi (R+)",IFERROR(MAX(0,($F36-900)/1000),0),0))))</f>
        <v>0.57891937885556266</v>
      </c>
    </row>
    <row r="37" spans="1:10" ht="15" customHeight="1" x14ac:dyDescent="0.3">
      <c r="A37" s="22">
        <v>2018</v>
      </c>
      <c r="B37" s="22" t="s">
        <v>71</v>
      </c>
      <c r="C37" s="22" t="s">
        <v>53</v>
      </c>
      <c r="D37" s="22" t="s">
        <v>50</v>
      </c>
      <c r="E37" s="22">
        <v>7420</v>
      </c>
      <c r="F37" s="22"/>
      <c r="G37" s="22"/>
      <c r="H37" s="22">
        <v>1</v>
      </c>
      <c r="I37" s="22" t="s">
        <v>51</v>
      </c>
      <c r="J37" s="23">
        <f>IF($D37="LSF čempionatas",IFERROR($E37/SUMIFS(Parametrai!$B$2:$B$21,Parametrai!$A$2:$A$21,$A37)*SUMIFS(Parametrai!$E$2:$E$21,Parametrai!$A$2:$A$21,$A37),0),IF($D37="Kitos varžybos, deklaruotos reitingui",IFERROR($F37/MAX($G37,SUMIFS(Parametrai!$F$2:$F$21,Parametrai!$A$2:$A$21,$A37))*IF($H37="",1,$H37),0),IF($D37="Susikertančios su Lietuvos čempionatu",0.95*SUMIFS($J$2:$J$500,$B$2:$B$500,$B37,$A$2:$A$500,$A37-1),IF($D37="Papildomi (R+)",IFERROR(MAX(0,($F37-900)/1000),0),0))))</f>
        <v>0.7891937885556265</v>
      </c>
    </row>
    <row r="38" spans="1:10" ht="15" customHeight="1" x14ac:dyDescent="0.3">
      <c r="A38" s="22">
        <v>2018</v>
      </c>
      <c r="B38" s="22" t="s">
        <v>80</v>
      </c>
      <c r="C38" s="22" t="s">
        <v>53</v>
      </c>
      <c r="D38" s="22" t="s">
        <v>50</v>
      </c>
      <c r="E38" s="22">
        <v>7756</v>
      </c>
      <c r="F38" s="22"/>
      <c r="G38" s="22"/>
      <c r="H38" s="22">
        <v>1</v>
      </c>
      <c r="I38" s="22" t="s">
        <v>51</v>
      </c>
      <c r="J38" s="23">
        <f>IF($D38="LSF čempionatas",IFERROR($E38/SUMIFS(Parametrai!$B$2:$B$21,Parametrai!$A$2:$A$21,$A38)*SUMIFS(Parametrai!$E$2:$E$21,Parametrai!$A$2:$A$21,$A38),0),IF($D38="Kitos varžybos, deklaruotos reitingui",IFERROR($F38/MAX($G38,SUMIFS(Parametrai!$F$2:$F$21,Parametrai!$A$2:$A$21,$A38))*IF($H38="",1,$H38),0),IF($D38="Susikertančios su Lietuvos čempionatu",0.95*SUMIFS($J$2:$J$500,$B$2:$B$500,$B38,$A$2:$A$500,$A38-1),IF($D38="Papildomi (R+)",IFERROR(MAX(0,($F38-900)/1000),0),0))))</f>
        <v>0.82493086577323971</v>
      </c>
    </row>
    <row r="39" spans="1:10" ht="15" customHeight="1" x14ac:dyDescent="0.3">
      <c r="A39" s="22">
        <v>2018</v>
      </c>
      <c r="B39" s="22" t="s">
        <v>72</v>
      </c>
      <c r="C39" s="22" t="s">
        <v>53</v>
      </c>
      <c r="D39" s="22" t="s">
        <v>50</v>
      </c>
      <c r="E39" s="22">
        <v>8338</v>
      </c>
      <c r="F39" s="22"/>
      <c r="G39" s="22"/>
      <c r="H39" s="22">
        <v>1</v>
      </c>
      <c r="I39" s="22" t="s">
        <v>51</v>
      </c>
      <c r="J39" s="23">
        <f>IF($D39="LSF čempionatas",IFERROR($E39/SUMIFS(Parametrai!$B$2:$B$21,Parametrai!$A$2:$A$21,$A39)*SUMIFS(Parametrai!$E$2:$E$21,Parametrai!$A$2:$A$21,$A39),0),IF($D39="Kitos varžybos, deklaruotos reitingui",IFERROR($F39/MAX($G39,SUMIFS(Parametrai!$F$2:$F$21,Parametrai!$A$2:$A$21,$A39))*IF($H39="",1,$H39),0),IF($D39="Susikertančios su Lietuvos čempionatu",0.95*SUMIFS($J$2:$J$500,$B$2:$B$500,$B39,$A$2:$A$500,$A39-1),IF($D39="Papildomi (R+)",IFERROR(MAX(0,($F39-900)/1000),0),0))))</f>
        <v>0.88683258881089133</v>
      </c>
    </row>
    <row r="40" spans="1:10" ht="15" customHeight="1" x14ac:dyDescent="0.3">
      <c r="A40" s="22">
        <v>2018</v>
      </c>
      <c r="B40" s="22" t="s">
        <v>73</v>
      </c>
      <c r="C40" s="22" t="s">
        <v>53</v>
      </c>
      <c r="D40" s="22" t="s">
        <v>50</v>
      </c>
      <c r="E40" s="22">
        <v>9158</v>
      </c>
      <c r="F40" s="22"/>
      <c r="G40" s="22"/>
      <c r="H40" s="22">
        <v>1</v>
      </c>
      <c r="I40" s="22" t="s">
        <v>51</v>
      </c>
      <c r="J40" s="23">
        <f>IF($D40="LSF čempionatas",IFERROR($E40/SUMIFS(Parametrai!$B$2:$B$21,Parametrai!$A$2:$A$21,$A40)*SUMIFS(Parametrai!$E$2:$E$21,Parametrai!$A$2:$A$21,$A40),0),IF($D40="Kitos varžybos, deklaruotos reitingui",IFERROR($F40/MAX($G40,SUMIFS(Parametrai!$F$2:$F$21,Parametrai!$A$2:$A$21,$A40))*IF($H40="",1,$H40),0),IF($D40="Susikertančios su Lietuvos čempionatu",0.95*SUMIFS($J$2:$J$500,$B$2:$B$500,$B40,$A$2:$A$500,$A40-1),IF($D40="Papildomi (R+)",IFERROR(MAX(0,($F40-900)/1000),0),0))))</f>
        <v>0.97404807487768563</v>
      </c>
    </row>
    <row r="41" spans="1:10" ht="15" customHeight="1" x14ac:dyDescent="0.3">
      <c r="A41" s="22">
        <v>2018</v>
      </c>
      <c r="B41" s="22" t="s">
        <v>74</v>
      </c>
      <c r="C41" s="22" t="s">
        <v>53</v>
      </c>
      <c r="D41" s="22" t="s">
        <v>50</v>
      </c>
      <c r="E41" s="22">
        <v>8362</v>
      </c>
      <c r="F41" s="22"/>
      <c r="G41" s="22"/>
      <c r="H41" s="22">
        <v>1</v>
      </c>
      <c r="I41" s="22" t="s">
        <v>51</v>
      </c>
      <c r="J41" s="23">
        <f>IF($D41="LSF čempionatas",IFERROR($E41/SUMIFS(Parametrai!$B$2:$B$21,Parametrai!$A$2:$A$21,$A41)*SUMIFS(Parametrai!$E$2:$E$21,Parametrai!$A$2:$A$21,$A41),0),IF($D41="Kitos varžybos, deklaruotos reitingui",IFERROR($F41/MAX($G41,SUMIFS(Parametrai!$F$2:$F$21,Parametrai!$A$2:$A$21,$A41))*IF($H41="",1,$H41),0),IF($D41="Susikertančios su Lietuvos čempionatu",0.95*SUMIFS($J$2:$J$500,$B$2:$B$500,$B41,$A$2:$A$500,$A41-1),IF($D41="Papildomi (R+)",IFERROR(MAX(0,($F41-900)/1000),0),0))))</f>
        <v>0.88938523718357798</v>
      </c>
    </row>
    <row r="42" spans="1:10" ht="15" customHeight="1" x14ac:dyDescent="0.3">
      <c r="A42" s="22">
        <v>2018</v>
      </c>
      <c r="B42" s="22" t="s">
        <v>75</v>
      </c>
      <c r="C42" s="22" t="s">
        <v>56</v>
      </c>
      <c r="D42" s="22" t="s">
        <v>50</v>
      </c>
      <c r="E42" s="22">
        <v>9207</v>
      </c>
      <c r="F42" s="22"/>
      <c r="G42" s="22"/>
      <c r="H42" s="22">
        <v>1</v>
      </c>
      <c r="I42" s="22" t="s">
        <v>51</v>
      </c>
      <c r="J42" s="23">
        <f>IF($D42="LSF čempionatas",IFERROR($E42/SUMIFS(Parametrai!$B$2:$B$21,Parametrai!$A$2:$A$21,$A42)*SUMIFS(Parametrai!$E$2:$E$21,Parametrai!$A$2:$A$21,$A42),0),IF($D42="Kitos varžybos, deklaruotos reitingui",IFERROR($F42/MAX($G42,SUMIFS(Parametrai!$F$2:$F$21,Parametrai!$A$2:$A$21,$A42))*IF($H42="",1,$H42),0),IF($D42="Susikertančios su Lietuvos čempionatu",0.95*SUMIFS($J$2:$J$500,$B$2:$B$500,$B42,$A$2:$A$500,$A42-1),IF($D42="Papildomi (R+)",IFERROR(MAX(0,($F42-900)/1000),0),0))))</f>
        <v>0.97925973197192084</v>
      </c>
    </row>
    <row r="43" spans="1:10" ht="15" customHeight="1" x14ac:dyDescent="0.3">
      <c r="A43" s="22">
        <v>2019</v>
      </c>
      <c r="B43" s="22" t="s">
        <v>48</v>
      </c>
      <c r="C43" s="22" t="s">
        <v>49</v>
      </c>
      <c r="D43" s="22" t="s">
        <v>50</v>
      </c>
      <c r="E43" s="22">
        <v>6904</v>
      </c>
      <c r="F43" s="22"/>
      <c r="G43" s="22"/>
      <c r="H43" s="22">
        <v>1</v>
      </c>
      <c r="I43" s="22" t="s">
        <v>51</v>
      </c>
      <c r="J43" s="23">
        <f>IF($D43="LSF čempionatas",IFERROR($E43/SUMIFS(Parametrai!$B$2:$B$21,Parametrai!$A$2:$A$21,$A43)*SUMIFS(Parametrai!$E$2:$E$21,Parametrai!$A$2:$A$21,$A43),0),IF($D43="Kitos varžybos, deklaruotos reitingui",IFERROR($F43/MAX($G43,SUMIFS(Parametrai!$F$2:$F$21,Parametrai!$A$2:$A$21,$A43))*IF($H43="",1,$H43),0),IF($D43="Susikertančios su Lietuvos čempionatu",0.95*SUMIFS($J$2:$J$500,$B$2:$B$500,$B43,$A$2:$A$500,$A43-1),IF($D43="Papildomi (R+)",IFERROR(MAX(0,($F43-900)/1000),0),0))))</f>
        <v>0.78090713720167404</v>
      </c>
    </row>
    <row r="44" spans="1:10" ht="15" customHeight="1" x14ac:dyDescent="0.3">
      <c r="A44" s="22">
        <v>2019</v>
      </c>
      <c r="B44" s="22" t="s">
        <v>54</v>
      </c>
      <c r="C44" s="22" t="s">
        <v>49</v>
      </c>
      <c r="D44" s="22" t="s">
        <v>50</v>
      </c>
      <c r="E44" s="22">
        <v>6781</v>
      </c>
      <c r="F44" s="22"/>
      <c r="G44" s="22"/>
      <c r="H44" s="22">
        <v>1</v>
      </c>
      <c r="I44" s="22" t="s">
        <v>51</v>
      </c>
      <c r="J44" s="23">
        <f>IF($D44="LSF čempionatas",IFERROR($E44/SUMIFS(Parametrai!$B$2:$B$21,Parametrai!$A$2:$A$21,$A44)*SUMIFS(Parametrai!$E$2:$E$21,Parametrai!$A$2:$A$21,$A44),0),IF($D44="Kitos varžybos, deklaruotos reitingui",IFERROR($F44/MAX($G44,SUMIFS(Parametrai!$F$2:$F$21,Parametrai!$A$2:$A$21,$A44))*IF($H44="",1,$H44),0),IF($D44="Susikertančios su Lietuvos čempionatu",0.95*SUMIFS($J$2:$J$500,$B$2:$B$500,$B44,$A$2:$A$500,$A44-1),IF($D44="Papildomi (R+)",IFERROR(MAX(0,($F44-900)/1000),0),0))))</f>
        <v>0.76699468385929193</v>
      </c>
    </row>
    <row r="45" spans="1:10" ht="15" customHeight="1" x14ac:dyDescent="0.3">
      <c r="A45" s="22">
        <v>2019</v>
      </c>
      <c r="B45" s="22" t="s">
        <v>55</v>
      </c>
      <c r="C45" s="22" t="s">
        <v>56</v>
      </c>
      <c r="D45" s="22" t="s">
        <v>50</v>
      </c>
      <c r="E45" s="22">
        <v>3864</v>
      </c>
      <c r="F45" s="22"/>
      <c r="G45" s="22"/>
      <c r="H45" s="22">
        <v>1</v>
      </c>
      <c r="I45" s="22" t="s">
        <v>51</v>
      </c>
      <c r="J45" s="23">
        <f>IF($D45="LSF čempionatas",IFERROR($E45/SUMIFS(Parametrai!$B$2:$B$21,Parametrai!$A$2:$A$21,$A45)*SUMIFS(Parametrai!$E$2:$E$21,Parametrai!$A$2:$A$21,$A45),0),IF($D45="Kitos varžybos, deklaruotos reitingui",IFERROR($F45/MAX($G45,SUMIFS(Parametrai!$F$2:$F$21,Parametrai!$A$2:$A$21,$A45))*IF($H45="",1,$H45),0),IF($D45="Susikertančios su Lietuvos čempionatu",0.95*SUMIFS($J$2:$J$500,$B$2:$B$500,$B45,$A$2:$A$500,$A45-1),IF($D45="Papildomi (R+)",IFERROR(MAX(0,($F45-900)/1000),0),0))))</f>
        <v>0.43705463182897863</v>
      </c>
    </row>
    <row r="46" spans="1:10" ht="15" customHeight="1" x14ac:dyDescent="0.3">
      <c r="A46" s="22">
        <v>2019</v>
      </c>
      <c r="B46" s="22" t="s">
        <v>81</v>
      </c>
      <c r="C46" s="22" t="s">
        <v>49</v>
      </c>
      <c r="D46" s="22" t="s">
        <v>50</v>
      </c>
      <c r="E46" s="22">
        <v>8135</v>
      </c>
      <c r="F46" s="22"/>
      <c r="G46" s="22"/>
      <c r="H46" s="22">
        <v>1</v>
      </c>
      <c r="I46" s="22" t="s">
        <v>51</v>
      </c>
      <c r="J46" s="23">
        <f>IF($D46="LSF čempionatas",IFERROR($E46/SUMIFS(Parametrai!$B$2:$B$21,Parametrai!$A$2:$A$21,$A46)*SUMIFS(Parametrai!$E$2:$E$21,Parametrai!$A$2:$A$21,$A46),0),IF($D46="Kitos varžybos, deklaruotos reitingui",IFERROR($F46/MAX($G46,SUMIFS(Parametrai!$F$2:$F$21,Parametrai!$A$2:$A$21,$A46))*IF($H46="",1,$H46),0),IF($D46="Susikertančios su Lietuvos čempionatu",0.95*SUMIFS($J$2:$J$500,$B$2:$B$500,$B46,$A$2:$A$500,$A46-1),IF($D46="Papildomi (R+)",IFERROR(MAX(0,($F46-900)/1000),0),0))))</f>
        <v>0.92014478000226219</v>
      </c>
    </row>
    <row r="47" spans="1:10" ht="15" customHeight="1" x14ac:dyDescent="0.3">
      <c r="A47" s="22">
        <v>2019</v>
      </c>
      <c r="B47" s="22" t="s">
        <v>57</v>
      </c>
      <c r="C47" s="22" t="s">
        <v>53</v>
      </c>
      <c r="D47" s="22" t="s">
        <v>50</v>
      </c>
      <c r="E47" s="22">
        <v>8546</v>
      </c>
      <c r="F47" s="22"/>
      <c r="G47" s="22"/>
      <c r="H47" s="22">
        <v>1</v>
      </c>
      <c r="I47" s="22" t="s">
        <v>51</v>
      </c>
      <c r="J47" s="23">
        <f>IF($D47="LSF čempionatas",IFERROR($E47/SUMIFS(Parametrai!$B$2:$B$21,Parametrai!$A$2:$A$21,$A47)*SUMIFS(Parametrai!$E$2:$E$21,Parametrai!$A$2:$A$21,$A47),0),IF($D47="Kitos varžybos, deklaruotos reitingui",IFERROR($F47/MAX($G47,SUMIFS(Parametrai!$F$2:$F$21,Parametrai!$A$2:$A$21,$A47))*IF($H47="",1,$H47),0),IF($D47="Susikertančios su Lietuvos čempionatu",0.95*SUMIFS($J$2:$J$500,$B$2:$B$500,$B47,$A$2:$A$500,$A47-1),IF($D47="Papildomi (R+)",IFERROR(MAX(0,($F47-900)/1000),0),0))))</f>
        <v>0.96663273385363646</v>
      </c>
    </row>
    <row r="48" spans="1:10" ht="15" customHeight="1" x14ac:dyDescent="0.3">
      <c r="A48" s="22">
        <v>2019</v>
      </c>
      <c r="B48" s="22" t="s">
        <v>58</v>
      </c>
      <c r="C48" s="22" t="s">
        <v>59</v>
      </c>
      <c r="D48" s="22" t="s">
        <v>50</v>
      </c>
      <c r="E48" s="22">
        <v>8364</v>
      </c>
      <c r="F48" s="22"/>
      <c r="G48" s="22"/>
      <c r="H48" s="22">
        <v>1</v>
      </c>
      <c r="I48" s="22" t="s">
        <v>51</v>
      </c>
      <c r="J48" s="23">
        <f>IF($D48="LSF čempionatas",IFERROR($E48/SUMIFS(Parametrai!$B$2:$B$21,Parametrai!$A$2:$A$21,$A48)*SUMIFS(Parametrai!$E$2:$E$21,Parametrai!$A$2:$A$21,$A48),0),IF($D48="Kitos varžybos, deklaruotos reitingui",IFERROR($F48/MAX($G48,SUMIFS(Parametrai!$F$2:$F$21,Parametrai!$A$2:$A$21,$A48))*IF($H48="",1,$H48),0),IF($D48="Susikertančios su Lietuvos čempionatu",0.95*SUMIFS($J$2:$J$500,$B$2:$B$500,$B48,$A$2:$A$500,$A48-1),IF($D48="Papildomi (R+)",IFERROR(MAX(0,($F48-900)/1000),0),0))))</f>
        <v>0.94604682728198164</v>
      </c>
    </row>
    <row r="49" spans="1:10" ht="15" customHeight="1" x14ac:dyDescent="0.3">
      <c r="A49" s="22">
        <v>2019</v>
      </c>
      <c r="B49" s="22" t="s">
        <v>60</v>
      </c>
      <c r="C49" s="22" t="s">
        <v>61</v>
      </c>
      <c r="D49" s="22" t="s">
        <v>50</v>
      </c>
      <c r="E49" s="22">
        <v>7740</v>
      </c>
      <c r="F49" s="22"/>
      <c r="G49" s="22"/>
      <c r="H49" s="22">
        <v>1</v>
      </c>
      <c r="I49" s="22" t="s">
        <v>51</v>
      </c>
      <c r="J49" s="23">
        <f>IF($D49="LSF čempionatas",IFERROR($E49/SUMIFS(Parametrai!$B$2:$B$21,Parametrai!$A$2:$A$21,$A49)*SUMIFS(Parametrai!$E$2:$E$21,Parametrai!$A$2:$A$21,$A49),0),IF($D49="Kitos varžybos, deklaruotos reitingui",IFERROR($F49/MAX($G49,SUMIFS(Parametrai!$F$2:$F$21,Parametrai!$A$2:$A$21,$A49))*IF($H49="",1,$H49),0),IF($D49="Susikertančios su Lietuvos čempionatu",0.95*SUMIFS($J$2:$J$500,$B$2:$B$500,$B49,$A$2:$A$500,$A49-1),IF($D49="Papildomi (R+)",IFERROR(MAX(0,($F49-900)/1000),0),0))))</f>
        <v>0.87546657617916523</v>
      </c>
    </row>
    <row r="50" spans="1:10" ht="15" customHeight="1" x14ac:dyDescent="0.3">
      <c r="A50" s="22">
        <v>2019</v>
      </c>
      <c r="B50" s="22" t="s">
        <v>62</v>
      </c>
      <c r="C50" s="22" t="s">
        <v>56</v>
      </c>
      <c r="D50" s="22" t="s">
        <v>50</v>
      </c>
      <c r="E50" s="22">
        <v>8154</v>
      </c>
      <c r="F50" s="22"/>
      <c r="G50" s="22"/>
      <c r="H50" s="22">
        <v>1</v>
      </c>
      <c r="I50" s="22" t="s">
        <v>51</v>
      </c>
      <c r="J50" s="23">
        <f>IF($D50="LSF čempionatas",IFERROR($E50/SUMIFS(Parametrai!$B$2:$B$21,Parametrai!$A$2:$A$21,$A50)*SUMIFS(Parametrai!$E$2:$E$21,Parametrai!$A$2:$A$21,$A50),0),IF($D50="Kitos varžybos, deklaruotos reitingui",IFERROR($F50/MAX($G50,SUMIFS(Parametrai!$F$2:$F$21,Parametrai!$A$2:$A$21,$A50))*IF($H50="",1,$H50),0),IF($D50="Susikertančios su Lietuvos čempionatu",0.95*SUMIFS($J$2:$J$500,$B$2:$B$500,$B50,$A$2:$A$500,$A50-1),IF($D50="Papildomi (R+)",IFERROR(MAX(0,($F50-900)/1000),0),0))))</f>
        <v>0.92229385816084153</v>
      </c>
    </row>
    <row r="51" spans="1:10" ht="15" customHeight="1" x14ac:dyDescent="0.3">
      <c r="A51" s="22">
        <v>2019</v>
      </c>
      <c r="B51" s="22" t="s">
        <v>63</v>
      </c>
      <c r="C51" s="22" t="s">
        <v>53</v>
      </c>
      <c r="D51" s="22" t="s">
        <v>50</v>
      </c>
      <c r="E51" s="22">
        <v>3292</v>
      </c>
      <c r="F51" s="22"/>
      <c r="G51" s="22"/>
      <c r="H51" s="22">
        <v>1</v>
      </c>
      <c r="I51" s="22" t="s">
        <v>51</v>
      </c>
      <c r="J51" s="23">
        <f>IF($D51="LSF čempionatas",IFERROR($E51/SUMIFS(Parametrai!$B$2:$B$21,Parametrai!$A$2:$A$21,$A51)*SUMIFS(Parametrai!$E$2:$E$21,Parametrai!$A$2:$A$21,$A51),0),IF($D51="Kitos varžybos, deklaruotos reitingui",IFERROR($F51/MAX($G51,SUMIFS(Parametrai!$F$2:$F$21,Parametrai!$A$2:$A$21,$A51))*IF($H51="",1,$H51),0),IF($D51="Susikertančios su Lietuvos čempionatu",0.95*SUMIFS($J$2:$J$500,$B$2:$B$500,$B51,$A$2:$A$500,$A51-1),IF($D51="Papildomi (R+)",IFERROR(MAX(0,($F51-900)/1000),0),0))))</f>
        <v>0.37235606831806356</v>
      </c>
    </row>
    <row r="52" spans="1:10" ht="15" customHeight="1" x14ac:dyDescent="0.3">
      <c r="A52" s="22">
        <v>2019</v>
      </c>
      <c r="B52" s="22" t="s">
        <v>64</v>
      </c>
      <c r="C52" s="22" t="s">
        <v>49</v>
      </c>
      <c r="D52" s="22" t="s">
        <v>50</v>
      </c>
      <c r="E52" s="22">
        <v>8841</v>
      </c>
      <c r="F52" s="22"/>
      <c r="G52" s="22"/>
      <c r="H52" s="22">
        <v>1</v>
      </c>
      <c r="I52" s="22" t="s">
        <v>51</v>
      </c>
      <c r="J52" s="23">
        <f>IF($D52="LSF čempionatas",IFERROR($E52/SUMIFS(Parametrai!$B$2:$B$21,Parametrai!$A$2:$A$21,$A52)*SUMIFS(Parametrai!$E$2:$E$21,Parametrai!$A$2:$A$21,$A52),0),IF($D52="Kitos varžybos, deklaruotos reitingui",IFERROR($F52/MAX($G52,SUMIFS(Parametrai!$F$2:$F$21,Parametrai!$A$2:$A$21,$A52))*IF($H52="",1,$H52),0),IF($D52="Susikertančios su Lietuvos čempionatu",0.95*SUMIFS($J$2:$J$500,$B$2:$B$500,$B52,$A$2:$A$500,$A52-1),IF($D52="Papildomi (R+)",IFERROR(MAX(0,($F52-900)/1000),0),0))))</f>
        <v>1</v>
      </c>
    </row>
    <row r="53" spans="1:10" ht="15" customHeight="1" x14ac:dyDescent="0.3">
      <c r="A53" s="22">
        <v>2019</v>
      </c>
      <c r="B53" s="22" t="s">
        <v>65</v>
      </c>
      <c r="C53" s="22" t="s">
        <v>53</v>
      </c>
      <c r="D53" s="22" t="s">
        <v>50</v>
      </c>
      <c r="E53" s="22">
        <v>5990</v>
      </c>
      <c r="F53" s="22"/>
      <c r="G53" s="22"/>
      <c r="H53" s="22">
        <v>1</v>
      </c>
      <c r="I53" s="22" t="s">
        <v>51</v>
      </c>
      <c r="J53" s="23">
        <f>IF($D53="LSF čempionatas",IFERROR($E53/SUMIFS(Parametrai!$B$2:$B$21,Parametrai!$A$2:$A$21,$A53)*SUMIFS(Parametrai!$E$2:$E$21,Parametrai!$A$2:$A$21,$A53),0),IF($D53="Kitos varžybos, deklaruotos reitingui",IFERROR($F53/MAX($G53,SUMIFS(Parametrai!$F$2:$F$21,Parametrai!$A$2:$A$21,$A53))*IF($H53="",1,$H53),0),IF($D53="Susikertančios su Lietuvos čempionatu",0.95*SUMIFS($J$2:$J$500,$B$2:$B$500,$B53,$A$2:$A$500,$A53-1),IF($D53="Papildomi (R+)",IFERROR(MAX(0,($F53-900)/1000),0),0))))</f>
        <v>0.67752516683633068</v>
      </c>
    </row>
    <row r="54" spans="1:10" ht="15" customHeight="1" x14ac:dyDescent="0.3">
      <c r="A54" s="22">
        <v>2019</v>
      </c>
      <c r="B54" s="22" t="s">
        <v>82</v>
      </c>
      <c r="C54" s="22" t="s">
        <v>53</v>
      </c>
      <c r="D54" s="22" t="s">
        <v>50</v>
      </c>
      <c r="E54" s="22">
        <v>5766</v>
      </c>
      <c r="F54" s="22"/>
      <c r="G54" s="22"/>
      <c r="H54" s="22">
        <v>1</v>
      </c>
      <c r="I54" s="22" t="s">
        <v>51</v>
      </c>
      <c r="J54" s="23">
        <f>IF($D54="LSF čempionatas",IFERROR($E54/SUMIFS(Parametrai!$B$2:$B$21,Parametrai!$A$2:$A$21,$A54)*SUMIFS(Parametrai!$E$2:$E$21,Parametrai!$A$2:$A$21,$A54),0),IF($D54="Kitos varžybos, deklaruotos reitingui",IFERROR($F54/MAX($G54,SUMIFS(Parametrai!$F$2:$F$21,Parametrai!$A$2:$A$21,$A54))*IF($H54="",1,$H54),0),IF($D54="Susikertančios su Lietuvos čempionatu",0.95*SUMIFS($J$2:$J$500,$B$2:$B$500,$B54,$A$2:$A$500,$A54-1),IF($D54="Papildomi (R+)",IFERROR(MAX(0,($F54-900)/1000),0),0))))</f>
        <v>0.65218866644044793</v>
      </c>
    </row>
    <row r="55" spans="1:10" ht="15" customHeight="1" x14ac:dyDescent="0.3">
      <c r="A55" s="22">
        <v>2019</v>
      </c>
      <c r="B55" s="22" t="s">
        <v>67</v>
      </c>
      <c r="C55" s="22" t="s">
        <v>53</v>
      </c>
      <c r="D55" s="22" t="s">
        <v>50</v>
      </c>
      <c r="E55" s="22">
        <v>8666</v>
      </c>
      <c r="F55" s="22"/>
      <c r="G55" s="22"/>
      <c r="H55" s="22">
        <v>1</v>
      </c>
      <c r="I55" s="22" t="s">
        <v>51</v>
      </c>
      <c r="J55" s="23">
        <f>IF($D55="LSF čempionatas",IFERROR($E55/SUMIFS(Parametrai!$B$2:$B$21,Parametrai!$A$2:$A$21,$A55)*SUMIFS(Parametrai!$E$2:$E$21,Parametrai!$A$2:$A$21,$A55),0),IF($D55="Kitos varžybos, deklaruotos reitingui",IFERROR($F55/MAX($G55,SUMIFS(Parametrai!$F$2:$F$21,Parametrai!$A$2:$A$21,$A55))*IF($H55="",1,$H55),0),IF($D55="Susikertančios su Lietuvos čempionatu",0.95*SUMIFS($J$2:$J$500,$B$2:$B$500,$B55,$A$2:$A$500,$A55-1),IF($D55="Papildomi (R+)",IFERROR(MAX(0,($F55-900)/1000),0),0))))</f>
        <v>0.98020585906571656</v>
      </c>
    </row>
    <row r="56" spans="1:10" ht="15" customHeight="1" x14ac:dyDescent="0.3">
      <c r="A56" s="22">
        <v>2019</v>
      </c>
      <c r="B56" s="22" t="s">
        <v>68</v>
      </c>
      <c r="C56" s="22" t="s">
        <v>69</v>
      </c>
      <c r="D56" s="22" t="s">
        <v>50</v>
      </c>
      <c r="E56" s="22">
        <v>7410</v>
      </c>
      <c r="F56" s="22"/>
      <c r="G56" s="22"/>
      <c r="H56" s="22">
        <v>1</v>
      </c>
      <c r="I56" s="22" t="s">
        <v>51</v>
      </c>
      <c r="J56" s="23">
        <f>IF($D56="LSF čempionatas",IFERROR($E56/SUMIFS(Parametrai!$B$2:$B$21,Parametrai!$A$2:$A$21,$A56)*SUMIFS(Parametrai!$E$2:$E$21,Parametrai!$A$2:$A$21,$A56),0),IF($D56="Kitos varžybos, deklaruotos reitingui",IFERROR($F56/MAX($G56,SUMIFS(Parametrai!$F$2:$F$21,Parametrai!$A$2:$A$21,$A56))*IF($H56="",1,$H56),0),IF($D56="Susikertančios su Lietuvos čempionatu",0.95*SUMIFS($J$2:$J$500,$B$2:$B$500,$B56,$A$2:$A$500,$A56-1),IF($D56="Papildomi (R+)",IFERROR(MAX(0,($F56-900)/1000),0),0))))</f>
        <v>0.83814048184594503</v>
      </c>
    </row>
    <row r="57" spans="1:10" ht="15" customHeight="1" x14ac:dyDescent="0.3">
      <c r="A57" s="22">
        <v>2019</v>
      </c>
      <c r="B57" s="22" t="s">
        <v>79</v>
      </c>
      <c r="C57" s="22" t="s">
        <v>49</v>
      </c>
      <c r="D57" s="22" t="s">
        <v>50</v>
      </c>
      <c r="E57" s="22">
        <v>5424</v>
      </c>
      <c r="F57" s="22"/>
      <c r="G57" s="22"/>
      <c r="H57" s="22">
        <v>1</v>
      </c>
      <c r="I57" s="22" t="s">
        <v>51</v>
      </c>
      <c r="J57" s="23">
        <f>IF($D57="LSF čempionatas",IFERROR($E57/SUMIFS(Parametrai!$B$2:$B$21,Parametrai!$A$2:$A$21,$A57)*SUMIFS(Parametrai!$E$2:$E$21,Parametrai!$A$2:$A$21,$A57),0),IF($D57="Kitos varžybos, deklaruotos reitingui",IFERROR($F57/MAX($G57,SUMIFS(Parametrai!$F$2:$F$21,Parametrai!$A$2:$A$21,$A57))*IF($H57="",1,$H57),0),IF($D57="Susikertančios su Lietuvos čempionatu",0.95*SUMIFS($J$2:$J$500,$B$2:$B$500,$B57,$A$2:$A$500,$A57-1),IF($D57="Papildomi (R+)",IFERROR(MAX(0,($F57-900)/1000),0),0))))</f>
        <v>0.61350525958601965</v>
      </c>
    </row>
    <row r="58" spans="1:10" ht="15" customHeight="1" x14ac:dyDescent="0.3">
      <c r="A58" s="22">
        <v>2019</v>
      </c>
      <c r="B58" s="22" t="s">
        <v>80</v>
      </c>
      <c r="C58" s="22" t="s">
        <v>53</v>
      </c>
      <c r="D58" s="22" t="s">
        <v>50</v>
      </c>
      <c r="E58" s="22">
        <v>7094</v>
      </c>
      <c r="F58" s="22"/>
      <c r="G58" s="22"/>
      <c r="H58" s="22">
        <v>1</v>
      </c>
      <c r="I58" s="22" t="s">
        <v>51</v>
      </c>
      <c r="J58" s="23">
        <f>IF($D58="LSF čempionatas",IFERROR($E58/SUMIFS(Parametrai!$B$2:$B$21,Parametrai!$A$2:$A$21,$A58)*SUMIFS(Parametrai!$E$2:$E$21,Parametrai!$A$2:$A$21,$A58),0),IF($D58="Kitos varžybos, deklaruotos reitingui",IFERROR($F58/MAX($G58,SUMIFS(Parametrai!$F$2:$F$21,Parametrai!$A$2:$A$21,$A58))*IF($H58="",1,$H58),0),IF($D58="Susikertančios su Lietuvos čempionatu",0.95*SUMIFS($J$2:$J$500,$B$2:$B$500,$B58,$A$2:$A$500,$A58-1),IF($D58="Papildomi (R+)",IFERROR(MAX(0,($F58-900)/1000),0),0))))</f>
        <v>0.80239791878746747</v>
      </c>
    </row>
    <row r="59" spans="1:10" ht="15" customHeight="1" x14ac:dyDescent="0.3">
      <c r="A59" s="22">
        <v>2019</v>
      </c>
      <c r="B59" s="22" t="s">
        <v>83</v>
      </c>
      <c r="C59" s="22" t="s">
        <v>56</v>
      </c>
      <c r="D59" s="22" t="s">
        <v>50</v>
      </c>
      <c r="E59" s="22">
        <v>7391</v>
      </c>
      <c r="F59" s="22"/>
      <c r="G59" s="22"/>
      <c r="H59" s="22">
        <v>1</v>
      </c>
      <c r="I59" s="22" t="s">
        <v>51</v>
      </c>
      <c r="J59" s="23">
        <f>IF($D59="LSF čempionatas",IFERROR($E59/SUMIFS(Parametrai!$B$2:$B$21,Parametrai!$A$2:$A$21,$A59)*SUMIFS(Parametrai!$E$2:$E$21,Parametrai!$A$2:$A$21,$A59),0),IF($D59="Kitos varžybos, deklaruotos reitingui",IFERROR($F59/MAX($G59,SUMIFS(Parametrai!$F$2:$F$21,Parametrai!$A$2:$A$21,$A59))*IF($H59="",1,$H59),0),IF($D59="Susikertančios su Lietuvos čempionatu",0.95*SUMIFS($J$2:$J$500,$B$2:$B$500,$B59,$A$2:$A$500,$A59-1),IF($D59="Papildomi (R+)",IFERROR(MAX(0,($F59-900)/1000),0),0))))</f>
        <v>0.83599140368736569</v>
      </c>
    </row>
    <row r="60" spans="1:10" ht="15" customHeight="1" x14ac:dyDescent="0.3">
      <c r="A60" s="22">
        <v>2019</v>
      </c>
      <c r="B60" s="22" t="s">
        <v>72</v>
      </c>
      <c r="C60" s="22" t="s">
        <v>53</v>
      </c>
      <c r="D60" s="22" t="s">
        <v>50</v>
      </c>
      <c r="E60" s="22">
        <v>8660</v>
      </c>
      <c r="F60" s="22"/>
      <c r="G60" s="22"/>
      <c r="H60" s="22">
        <v>1</v>
      </c>
      <c r="I60" s="22" t="s">
        <v>51</v>
      </c>
      <c r="J60" s="23">
        <f>IF($D60="LSF čempionatas",IFERROR($E60/SUMIFS(Parametrai!$B$2:$B$21,Parametrai!$A$2:$A$21,$A60)*SUMIFS(Parametrai!$E$2:$E$21,Parametrai!$A$2:$A$21,$A60),0),IF($D60="Kitos varžybos, deklaruotos reitingui",IFERROR($F60/MAX($G60,SUMIFS(Parametrai!$F$2:$F$21,Parametrai!$A$2:$A$21,$A60))*IF($H60="",1,$H60),0),IF($D60="Susikertančios su Lietuvos čempionatu",0.95*SUMIFS($J$2:$J$500,$B$2:$B$500,$B60,$A$2:$A$500,$A60-1),IF($D60="Papildomi (R+)",IFERROR(MAX(0,($F60-900)/1000),0),0))))</f>
        <v>0.97952720280511252</v>
      </c>
    </row>
    <row r="61" spans="1:10" ht="15" customHeight="1" x14ac:dyDescent="0.3">
      <c r="A61" s="22">
        <v>2019</v>
      </c>
      <c r="B61" s="22" t="s">
        <v>73</v>
      </c>
      <c r="C61" s="22" t="s">
        <v>53</v>
      </c>
      <c r="D61" s="22" t="s">
        <v>50</v>
      </c>
      <c r="E61" s="22">
        <v>7097</v>
      </c>
      <c r="F61" s="22"/>
      <c r="G61" s="22"/>
      <c r="H61" s="22">
        <v>1</v>
      </c>
      <c r="I61" s="22" t="s">
        <v>51</v>
      </c>
      <c r="J61" s="23">
        <f>IF($D61="LSF čempionatas",IFERROR($E61/SUMIFS(Parametrai!$B$2:$B$21,Parametrai!$A$2:$A$21,$A61)*SUMIFS(Parametrai!$E$2:$E$21,Parametrai!$A$2:$A$21,$A61),0),IF($D61="Kitos varžybos, deklaruotos reitingui",IFERROR($F61/MAX($G61,SUMIFS(Parametrai!$F$2:$F$21,Parametrai!$A$2:$A$21,$A61))*IF($H61="",1,$H61),0),IF($D61="Susikertančios su Lietuvos čempionatu",0.95*SUMIFS($J$2:$J$500,$B$2:$B$500,$B61,$A$2:$A$500,$A61-1),IF($D61="Papildomi (R+)",IFERROR(MAX(0,($F61-900)/1000),0),0))))</f>
        <v>0.80273724691776949</v>
      </c>
    </row>
    <row r="62" spans="1:10" ht="15" customHeight="1" x14ac:dyDescent="0.3">
      <c r="A62" s="22">
        <v>2019</v>
      </c>
      <c r="B62" s="22" t="s">
        <v>75</v>
      </c>
      <c r="C62" s="22" t="s">
        <v>56</v>
      </c>
      <c r="D62" s="22" t="s">
        <v>50</v>
      </c>
      <c r="E62" s="22">
        <v>7878</v>
      </c>
      <c r="F62" s="22"/>
      <c r="G62" s="22"/>
      <c r="H62" s="22">
        <v>1</v>
      </c>
      <c r="I62" s="22" t="s">
        <v>51</v>
      </c>
      <c r="J62" s="23">
        <f>IF($D62="LSF čempionatas",IFERROR($E62/SUMIFS(Parametrai!$B$2:$B$21,Parametrai!$A$2:$A$21,$A62)*SUMIFS(Parametrai!$E$2:$E$21,Parametrai!$A$2:$A$21,$A62),0),IF($D62="Kitos varžybos, deklaruotos reitingui",IFERROR($F62/MAX($G62,SUMIFS(Parametrai!$F$2:$F$21,Parametrai!$A$2:$A$21,$A62))*IF($H62="",1,$H62),0),IF($D62="Susikertančios su Lietuvos čempionatu",0.95*SUMIFS($J$2:$J$500,$B$2:$B$500,$B62,$A$2:$A$500,$A62-1),IF($D62="Papildomi (R+)",IFERROR(MAX(0,($F62-900)/1000),0),0))))</f>
        <v>0.89107567017305733</v>
      </c>
    </row>
    <row r="63" spans="1:10" ht="15" customHeight="1" x14ac:dyDescent="0.3">
      <c r="A63" s="22">
        <v>2019</v>
      </c>
      <c r="B63" s="22" t="s">
        <v>84</v>
      </c>
      <c r="C63" s="22" t="s">
        <v>69</v>
      </c>
      <c r="D63" s="22" t="s">
        <v>50</v>
      </c>
      <c r="E63" s="22">
        <v>2775</v>
      </c>
      <c r="F63" s="22"/>
      <c r="G63" s="22"/>
      <c r="H63" s="22">
        <v>1</v>
      </c>
      <c r="I63" s="22" t="s">
        <v>51</v>
      </c>
      <c r="J63" s="23">
        <f>IF($D63="LSF čempionatas",IFERROR($E63/SUMIFS(Parametrai!$B$2:$B$21,Parametrai!$A$2:$A$21,$A63)*SUMIFS(Parametrai!$E$2:$E$21,Parametrai!$A$2:$A$21,$A63),0),IF($D63="Kitos varžybos, deklaruotos reitingui",IFERROR($F63/MAX($G63,SUMIFS(Parametrai!$F$2:$F$21,Parametrai!$A$2:$A$21,$A63))*IF($H63="",1,$H63),0),IF($D63="Susikertančios su Lietuvos čempionatu",0.95*SUMIFS($J$2:$J$500,$B$2:$B$500,$B63,$A$2:$A$500,$A63-1),IF($D63="Papildomi (R+)",IFERROR(MAX(0,($F63-900)/1000),0),0))))</f>
        <v>0.31387852052935189</v>
      </c>
    </row>
    <row r="64" spans="1:10" ht="15" customHeight="1" x14ac:dyDescent="0.3">
      <c r="A64" s="22">
        <v>2020</v>
      </c>
      <c r="B64" s="22" t="s">
        <v>48</v>
      </c>
      <c r="C64" s="22" t="s">
        <v>49</v>
      </c>
      <c r="D64" s="22" t="s">
        <v>50</v>
      </c>
      <c r="E64" s="22">
        <v>8852</v>
      </c>
      <c r="F64" s="22"/>
      <c r="G64" s="22"/>
      <c r="H64" s="22">
        <v>1</v>
      </c>
      <c r="I64" s="22" t="s">
        <v>51</v>
      </c>
      <c r="J64" s="23">
        <f>IF($D64="LSF čempionatas",IFERROR($E64/SUMIFS(Parametrai!$B$2:$B$21,Parametrai!$A$2:$A$21,$A64)*SUMIFS(Parametrai!$E$2:$E$21,Parametrai!$A$2:$A$21,$A64),0),IF($D64="Kitos varžybos, deklaruotos reitingui",IFERROR($F64/MAX($G64,SUMIFS(Parametrai!$F$2:$F$21,Parametrai!$A$2:$A$21,$A64))*IF($H64="",1,$H64),0),IF($D64="Susikertančios su Lietuvos čempionatu",0.95*SUMIFS($J$2:$J$500,$B$2:$B$500,$B64,$A$2:$A$500,$A64-1),IF($D64="Papildomi (R+)",IFERROR(MAX(0,($F64-900)/1000),0),0))))</f>
        <v>0.88991655775610734</v>
      </c>
    </row>
    <row r="65" spans="1:10" ht="15" customHeight="1" x14ac:dyDescent="0.3">
      <c r="A65" s="22">
        <v>2020</v>
      </c>
      <c r="B65" s="22" t="s">
        <v>54</v>
      </c>
      <c r="C65" s="22" t="s">
        <v>49</v>
      </c>
      <c r="D65" s="22" t="s">
        <v>50</v>
      </c>
      <c r="E65" s="22">
        <v>8266</v>
      </c>
      <c r="F65" s="22"/>
      <c r="G65" s="22"/>
      <c r="H65" s="22">
        <v>1</v>
      </c>
      <c r="I65" s="22" t="s">
        <v>51</v>
      </c>
      <c r="J65" s="23">
        <f>IF($D65="LSF čempionatas",IFERROR($E65/SUMIFS(Parametrai!$B$2:$B$21,Parametrai!$A$2:$A$21,$A65)*SUMIFS(Parametrai!$E$2:$E$21,Parametrai!$A$2:$A$21,$A65),0),IF($D65="Kitos varžybos, deklaruotos reitingui",IFERROR($F65/MAX($G65,SUMIFS(Parametrai!$F$2:$F$21,Parametrai!$A$2:$A$21,$A65))*IF($H65="",1,$H65),0),IF($D65="Susikertančios su Lietuvos čempionatu",0.95*SUMIFS($J$2:$J$500,$B$2:$B$500,$B65,$A$2:$A$500,$A65-1),IF($D65="Papildomi (R+)",IFERROR(MAX(0,($F65-900)/1000),0),0))))</f>
        <v>0.83100432291143056</v>
      </c>
    </row>
    <row r="66" spans="1:10" ht="15" customHeight="1" x14ac:dyDescent="0.3">
      <c r="A66" s="22">
        <v>2020</v>
      </c>
      <c r="B66" s="22" t="s">
        <v>85</v>
      </c>
      <c r="C66" s="22" t="s">
        <v>53</v>
      </c>
      <c r="D66" s="22" t="s">
        <v>50</v>
      </c>
      <c r="E66" s="22">
        <v>3338</v>
      </c>
      <c r="F66" s="22"/>
      <c r="G66" s="22"/>
      <c r="H66" s="22">
        <v>1</v>
      </c>
      <c r="I66" s="22" t="s">
        <v>51</v>
      </c>
      <c r="J66" s="23">
        <f>IF($D66="LSF čempionatas",IFERROR($E66/SUMIFS(Parametrai!$B$2:$B$21,Parametrai!$A$2:$A$21,$A66)*SUMIFS(Parametrai!$E$2:$E$21,Parametrai!$A$2:$A$21,$A66),0),IF($D66="Kitos varžybos, deklaruotos reitingui",IFERROR($F66/MAX($G66,SUMIFS(Parametrai!$F$2:$F$21,Parametrai!$A$2:$A$21,$A66))*IF($H66="",1,$H66),0),IF($D66="Susikertančios su Lietuvos čempionatu",0.95*SUMIFS($J$2:$J$500,$B$2:$B$500,$B66,$A$2:$A$500,$A66-1),IF($D66="Papildomi (R+)",IFERROR(MAX(0,($F66-900)/1000),0),0))))</f>
        <v>0.33557856640193023</v>
      </c>
    </row>
    <row r="67" spans="1:10" ht="15" customHeight="1" x14ac:dyDescent="0.3">
      <c r="A67" s="22">
        <v>2020</v>
      </c>
      <c r="B67" s="22" t="s">
        <v>55</v>
      </c>
      <c r="C67" s="22" t="s">
        <v>56</v>
      </c>
      <c r="D67" s="22" t="s">
        <v>50</v>
      </c>
      <c r="E67" s="22">
        <v>8898</v>
      </c>
      <c r="F67" s="22"/>
      <c r="G67" s="22"/>
      <c r="H67" s="22">
        <v>1</v>
      </c>
      <c r="I67" s="22" t="s">
        <v>51</v>
      </c>
      <c r="J67" s="23">
        <f>IF($D67="LSF čempionatas",IFERROR($E67/SUMIFS(Parametrai!$B$2:$B$21,Parametrai!$A$2:$A$21,$A67)*SUMIFS(Parametrai!$E$2:$E$21,Parametrai!$A$2:$A$21,$A67),0),IF($D67="Kitos varžybos, deklaruotos reitingui",IFERROR($F67/MAX($G67,SUMIFS(Parametrai!$F$2:$F$21,Parametrai!$A$2:$A$21,$A67))*IF($H67="",1,$H67),0),IF($D67="Susikertančios su Lietuvos čempionatu",0.95*SUMIFS($J$2:$J$500,$B$2:$B$500,$B67,$A$2:$A$500,$A67-1),IF($D67="Papildomi (R+)",IFERROR(MAX(0,($F67-900)/1000),0),0))))</f>
        <v>0.89454106765859054</v>
      </c>
    </row>
    <row r="68" spans="1:10" ht="15" customHeight="1" x14ac:dyDescent="0.3">
      <c r="A68" s="22">
        <v>2020</v>
      </c>
      <c r="B68" s="22" t="s">
        <v>81</v>
      </c>
      <c r="C68" s="22" t="s">
        <v>49</v>
      </c>
      <c r="D68" s="22" t="s">
        <v>50</v>
      </c>
      <c r="E68" s="22">
        <v>9593</v>
      </c>
      <c r="F68" s="22"/>
      <c r="G68" s="22"/>
      <c r="H68" s="22">
        <v>1</v>
      </c>
      <c r="I68" s="22" t="s">
        <v>51</v>
      </c>
      <c r="J68" s="23">
        <f>IF($D68="LSF čempionatas",IFERROR($E68/SUMIFS(Parametrai!$B$2:$B$21,Parametrai!$A$2:$A$21,$A68)*SUMIFS(Parametrai!$E$2:$E$21,Parametrai!$A$2:$A$21,$A68),0),IF($D68="Kitos varžybos, deklaruotos reitingui",IFERROR($F68/MAX($G68,SUMIFS(Parametrai!$F$2:$F$21,Parametrai!$A$2:$A$21,$A68))*IF($H68="",1,$H68),0),IF($D68="Susikertančios su Lietuvos čempionatu",0.95*SUMIFS($J$2:$J$500,$B$2:$B$500,$B68,$A$2:$A$500,$A68-1),IF($D68="Papildomi (R+)",IFERROR(MAX(0,($F68-900)/1000),0),0))))</f>
        <v>0.96441138031567308</v>
      </c>
    </row>
    <row r="69" spans="1:10" ht="15" customHeight="1" x14ac:dyDescent="0.3">
      <c r="A69" s="22">
        <v>2020</v>
      </c>
      <c r="B69" s="22" t="s">
        <v>57</v>
      </c>
      <c r="C69" s="22" t="s">
        <v>53</v>
      </c>
      <c r="D69" s="22" t="s">
        <v>50</v>
      </c>
      <c r="E69" s="22">
        <v>9663</v>
      </c>
      <c r="F69" s="22"/>
      <c r="G69" s="22"/>
      <c r="H69" s="22">
        <v>1</v>
      </c>
      <c r="I69" s="22" t="s">
        <v>51</v>
      </c>
      <c r="J69" s="23">
        <f>IF($D69="LSF čempionatas",IFERROR($E69/SUMIFS(Parametrai!$B$2:$B$21,Parametrai!$A$2:$A$21,$A69)*SUMIFS(Parametrai!$E$2:$E$21,Parametrai!$A$2:$A$21,$A69),0),IF($D69="Kitos varžybos, deklaruotos reitingui",IFERROR($F69/MAX($G69,SUMIFS(Parametrai!$F$2:$F$21,Parametrai!$A$2:$A$21,$A69))*IF($H69="",1,$H69),0),IF($D69="Susikertančios su Lietuvos čempionatu",0.95*SUMIFS($J$2:$J$500,$B$2:$B$500,$B69,$A$2:$A$500,$A69-1),IF($D69="Papildomi (R+)",IFERROR(MAX(0,($F69-900)/1000),0),0))))</f>
        <v>0.97144867799336487</v>
      </c>
    </row>
    <row r="70" spans="1:10" ht="15" customHeight="1" x14ac:dyDescent="0.3">
      <c r="A70" s="22">
        <v>2020</v>
      </c>
      <c r="B70" s="22" t="s">
        <v>58</v>
      </c>
      <c r="C70" s="22" t="s">
        <v>59</v>
      </c>
      <c r="D70" s="22" t="s">
        <v>50</v>
      </c>
      <c r="E70" s="22">
        <v>9246</v>
      </c>
      <c r="F70" s="22"/>
      <c r="G70" s="22"/>
      <c r="H70" s="22">
        <v>1</v>
      </c>
      <c r="I70" s="22" t="s">
        <v>51</v>
      </c>
      <c r="J70" s="23">
        <f>IF($D70="LSF čempionatas",IFERROR($E70/SUMIFS(Parametrai!$B$2:$B$21,Parametrai!$A$2:$A$21,$A70)*SUMIFS(Parametrai!$E$2:$E$21,Parametrai!$A$2:$A$21,$A70),0),IF($D70="Kitos varžybos, deklaruotos reitingui",IFERROR($F70/MAX($G70,SUMIFS(Parametrai!$F$2:$F$21,Parametrai!$A$2:$A$21,$A70))*IF($H70="",1,$H70),0),IF($D70="Susikertančios su Lietuvos čempionatu",0.95*SUMIFS($J$2:$J$500,$B$2:$B$500,$B70,$A$2:$A$500,$A70-1),IF($D70="Papildomi (R+)",IFERROR(MAX(0,($F70-900)/1000),0),0))))</f>
        <v>0.92952649039911528</v>
      </c>
    </row>
    <row r="71" spans="1:10" ht="15" customHeight="1" x14ac:dyDescent="0.3">
      <c r="A71" s="22">
        <v>2020</v>
      </c>
      <c r="B71" s="22" t="s">
        <v>62</v>
      </c>
      <c r="C71" s="22" t="s">
        <v>56</v>
      </c>
      <c r="D71" s="22" t="s">
        <v>50</v>
      </c>
      <c r="E71" s="22">
        <v>9926</v>
      </c>
      <c r="F71" s="22"/>
      <c r="G71" s="22"/>
      <c r="H71" s="22">
        <v>1</v>
      </c>
      <c r="I71" s="22" t="s">
        <v>51</v>
      </c>
      <c r="J71" s="23">
        <f>IF($D71="LSF čempionatas",IFERROR($E71/SUMIFS(Parametrai!$B$2:$B$21,Parametrai!$A$2:$A$21,$A71)*SUMIFS(Parametrai!$E$2:$E$21,Parametrai!$A$2:$A$21,$A71),0),IF($D71="Kitos varžybos, deklaruotos reitingui",IFERROR($F71/MAX($G71,SUMIFS(Parametrai!$F$2:$F$21,Parametrai!$A$2:$A$21,$A71))*IF($H71="",1,$H71),0),IF($D71="Susikertančios su Lietuvos čempionatu",0.95*SUMIFS($J$2:$J$500,$B$2:$B$500,$B71,$A$2:$A$500,$A71-1),IF($D71="Papildomi (R+)",IFERROR(MAX(0,($F71-900)/1000),0),0))))</f>
        <v>0.99788881069669244</v>
      </c>
    </row>
    <row r="72" spans="1:10" ht="15" customHeight="1" x14ac:dyDescent="0.3">
      <c r="A72" s="22">
        <v>2020</v>
      </c>
      <c r="B72" s="22" t="s">
        <v>63</v>
      </c>
      <c r="C72" s="22" t="s">
        <v>53</v>
      </c>
      <c r="D72" s="22" t="s">
        <v>50</v>
      </c>
      <c r="E72" s="22">
        <v>8605</v>
      </c>
      <c r="F72" s="22"/>
      <c r="G72" s="22"/>
      <c r="H72" s="22">
        <v>1</v>
      </c>
      <c r="I72" s="22" t="s">
        <v>51</v>
      </c>
      <c r="J72" s="23">
        <f>IF($D72="LSF čempionatas",IFERROR($E72/SUMIFS(Parametrai!$B$2:$B$21,Parametrai!$A$2:$A$21,$A72)*SUMIFS(Parametrai!$E$2:$E$21,Parametrai!$A$2:$A$21,$A72),0),IF($D72="Kitos varžybos, deklaruotos reitingui",IFERROR($F72/MAX($G72,SUMIFS(Parametrai!$F$2:$F$21,Parametrai!$A$2:$A$21,$A72))*IF($H72="",1,$H72),0),IF($D72="Susikertančios su Lietuvos čempionatu",0.95*SUMIFS($J$2:$J$500,$B$2:$B$500,$B72,$A$2:$A$500,$A72-1),IF($D72="Papildomi (R+)",IFERROR(MAX(0,($F72-900)/1000),0),0))))</f>
        <v>0.86508495023625209</v>
      </c>
    </row>
    <row r="73" spans="1:10" ht="15" customHeight="1" x14ac:dyDescent="0.3">
      <c r="A73" s="22">
        <v>2020</v>
      </c>
      <c r="B73" s="22" t="s">
        <v>65</v>
      </c>
      <c r="C73" s="22" t="s">
        <v>53</v>
      </c>
      <c r="D73" s="22" t="s">
        <v>50</v>
      </c>
      <c r="E73" s="22">
        <v>8506</v>
      </c>
      <c r="F73" s="22"/>
      <c r="G73" s="22"/>
      <c r="H73" s="22">
        <v>1</v>
      </c>
      <c r="I73" s="22" t="s">
        <v>51</v>
      </c>
      <c r="J73" s="23">
        <f>IF($D73="LSF čempionatas",IFERROR($E73/SUMIFS(Parametrai!$B$2:$B$21,Parametrai!$A$2:$A$21,$A73)*SUMIFS(Parametrai!$E$2:$E$21,Parametrai!$A$2:$A$21,$A73),0),IF($D73="Kitos varžybos, deklaruotos reitingui",IFERROR($F73/MAX($G73,SUMIFS(Parametrai!$F$2:$F$21,Parametrai!$A$2:$A$21,$A73))*IF($H73="",1,$H73),0),IF($D73="Susikertančios su Lietuvos čempionatu",0.95*SUMIFS($J$2:$J$500,$B$2:$B$500,$B73,$A$2:$A$500,$A73-1),IF($D73="Papildomi (R+)",IFERROR(MAX(0,($F73-900)/1000),0),0))))</f>
        <v>0.85513220066351658</v>
      </c>
    </row>
    <row r="74" spans="1:10" ht="15" customHeight="1" x14ac:dyDescent="0.3">
      <c r="A74" s="22">
        <v>2020</v>
      </c>
      <c r="B74" s="22" t="s">
        <v>78</v>
      </c>
      <c r="C74" s="22" t="s">
        <v>53</v>
      </c>
      <c r="D74" s="22" t="s">
        <v>50</v>
      </c>
      <c r="E74" s="22">
        <v>9765</v>
      </c>
      <c r="F74" s="22"/>
      <c r="G74" s="22"/>
      <c r="H74" s="22">
        <v>1</v>
      </c>
      <c r="I74" s="22" t="s">
        <v>51</v>
      </c>
      <c r="J74" s="23">
        <f>IF($D74="LSF čempionatas",IFERROR($E74/SUMIFS(Parametrai!$B$2:$B$21,Parametrai!$A$2:$A$21,$A74)*SUMIFS(Parametrai!$E$2:$E$21,Parametrai!$A$2:$A$21,$A74),0),IF($D74="Kitos varžybos, deklaruotos reitingui",IFERROR($F74/MAX($G74,SUMIFS(Parametrai!$F$2:$F$21,Parametrai!$A$2:$A$21,$A74))*IF($H74="",1,$H74),0),IF($D74="Susikertančios su Lietuvos čempionatu",0.95*SUMIFS($J$2:$J$500,$B$2:$B$500,$B74,$A$2:$A$500,$A74-1),IF($D74="Papildomi (R+)",IFERROR(MAX(0,($F74-900)/1000),0),0))))</f>
        <v>0.98170302603800141</v>
      </c>
    </row>
    <row r="75" spans="1:10" ht="15" customHeight="1" x14ac:dyDescent="0.3">
      <c r="A75" s="22">
        <v>2020</v>
      </c>
      <c r="B75" s="22" t="s">
        <v>86</v>
      </c>
      <c r="C75" s="22" t="s">
        <v>49</v>
      </c>
      <c r="D75" s="22" t="s">
        <v>50</v>
      </c>
      <c r="E75" s="22">
        <v>9947</v>
      </c>
      <c r="F75" s="22"/>
      <c r="G75" s="22"/>
      <c r="H75" s="22">
        <v>1</v>
      </c>
      <c r="I75" s="22" t="s">
        <v>51</v>
      </c>
      <c r="J75" s="23">
        <f>IF($D75="LSF čempionatas",IFERROR($E75/SUMIFS(Parametrai!$B$2:$B$21,Parametrai!$A$2:$A$21,$A75)*SUMIFS(Parametrai!$E$2:$E$21,Parametrai!$A$2:$A$21,$A75),0),IF($D75="Kitos varžybos, deklaruotos reitingui",IFERROR($F75/MAX($G75,SUMIFS(Parametrai!$F$2:$F$21,Parametrai!$A$2:$A$21,$A75))*IF($H75="",1,$H75),0),IF($D75="Susikertančios su Lietuvos čempionatu",0.95*SUMIFS($J$2:$J$500,$B$2:$B$500,$B75,$A$2:$A$500,$A75-1),IF($D75="Papildomi (R+)",IFERROR(MAX(0,($F75-900)/1000),0),0))))</f>
        <v>1</v>
      </c>
    </row>
    <row r="76" spans="1:10" ht="15" customHeight="1" x14ac:dyDescent="0.3">
      <c r="A76" s="22">
        <v>2020</v>
      </c>
      <c r="B76" s="22" t="s">
        <v>66</v>
      </c>
      <c r="C76" s="22" t="s">
        <v>53</v>
      </c>
      <c r="D76" s="22" t="s">
        <v>50</v>
      </c>
      <c r="E76" s="22">
        <v>9494</v>
      </c>
      <c r="F76" s="22"/>
      <c r="G76" s="22"/>
      <c r="H76" s="22">
        <v>1</v>
      </c>
      <c r="I76" s="22" t="s">
        <v>51</v>
      </c>
      <c r="J76" s="23">
        <f>IF($D76="LSF čempionatas",IFERROR($E76/SUMIFS(Parametrai!$B$2:$B$21,Parametrai!$A$2:$A$21,$A76)*SUMIFS(Parametrai!$E$2:$E$21,Parametrai!$A$2:$A$21,$A76),0),IF($D76="Kitos varžybos, deklaruotos reitingui",IFERROR($F76/MAX($G76,SUMIFS(Parametrai!$F$2:$F$21,Parametrai!$A$2:$A$21,$A76))*IF($H76="",1,$H76),0),IF($D76="Susikertančios su Lietuvos čempionatu",0.95*SUMIFS($J$2:$J$500,$B$2:$B$500,$B76,$A$2:$A$500,$A76-1),IF($D76="Papildomi (R+)",IFERROR(MAX(0,($F76-900)/1000),0),0))))</f>
        <v>0.95445863074293757</v>
      </c>
    </row>
    <row r="77" spans="1:10" ht="15" customHeight="1" x14ac:dyDescent="0.3">
      <c r="A77" s="22">
        <v>2020</v>
      </c>
      <c r="B77" s="22" t="s">
        <v>87</v>
      </c>
      <c r="C77" s="22" t="s">
        <v>53</v>
      </c>
      <c r="D77" s="22" t="s">
        <v>50</v>
      </c>
      <c r="E77" s="22">
        <v>5045</v>
      </c>
      <c r="F77" s="22"/>
      <c r="G77" s="22"/>
      <c r="H77" s="22">
        <v>1</v>
      </c>
      <c r="I77" s="22" t="s">
        <v>51</v>
      </c>
      <c r="J77" s="23">
        <f>IF($D77="LSF čempionatas",IFERROR($E77/SUMIFS(Parametrai!$B$2:$B$21,Parametrai!$A$2:$A$21,$A77)*SUMIFS(Parametrai!$E$2:$E$21,Parametrai!$A$2:$A$21,$A77),0),IF($D77="Kitos varžybos, deklaruotos reitingui",IFERROR($F77/MAX($G77,SUMIFS(Parametrai!$F$2:$F$21,Parametrai!$A$2:$A$21,$A77))*IF($H77="",1,$H77),0),IF($D77="Susikertančios su Lietuvos čempionatu",0.95*SUMIFS($J$2:$J$500,$B$2:$B$500,$B77,$A$2:$A$500,$A77-1),IF($D77="Papildomi (R+)",IFERROR(MAX(0,($F77-900)/1000),0),0))))</f>
        <v>0.50718809691364231</v>
      </c>
    </row>
    <row r="78" spans="1:10" ht="15" customHeight="1" x14ac:dyDescent="0.3">
      <c r="A78" s="22">
        <v>2020</v>
      </c>
      <c r="B78" s="22" t="s">
        <v>67</v>
      </c>
      <c r="C78" s="22" t="s">
        <v>53</v>
      </c>
      <c r="D78" s="22" t="s">
        <v>50</v>
      </c>
      <c r="E78" s="22">
        <v>9452</v>
      </c>
      <c r="F78" s="22"/>
      <c r="G78" s="22"/>
      <c r="H78" s="22">
        <v>1</v>
      </c>
      <c r="I78" s="22" t="s">
        <v>51</v>
      </c>
      <c r="J78" s="23">
        <f>IF($D78="LSF čempionatas",IFERROR($E78/SUMIFS(Parametrai!$B$2:$B$21,Parametrai!$A$2:$A$21,$A78)*SUMIFS(Parametrai!$E$2:$E$21,Parametrai!$A$2:$A$21,$A78),0),IF($D78="Kitos varžybos, deklaruotos reitingui",IFERROR($F78/MAX($G78,SUMIFS(Parametrai!$F$2:$F$21,Parametrai!$A$2:$A$21,$A78))*IF($H78="",1,$H78),0),IF($D78="Susikertančios su Lietuvos čempionatu",0.95*SUMIFS($J$2:$J$500,$B$2:$B$500,$B78,$A$2:$A$500,$A78-1),IF($D78="Papildomi (R+)",IFERROR(MAX(0,($F78-900)/1000),0),0))))</f>
        <v>0.95023625213632246</v>
      </c>
    </row>
    <row r="79" spans="1:10" ht="15" customHeight="1" x14ac:dyDescent="0.3">
      <c r="A79" s="22">
        <v>2020</v>
      </c>
      <c r="B79" s="22" t="s">
        <v>70</v>
      </c>
      <c r="C79" s="22" t="s">
        <v>53</v>
      </c>
      <c r="D79" s="22" t="s">
        <v>50</v>
      </c>
      <c r="E79" s="22">
        <v>4905</v>
      </c>
      <c r="F79" s="22"/>
      <c r="G79" s="22"/>
      <c r="H79" s="22">
        <v>1</v>
      </c>
      <c r="I79" s="22" t="s">
        <v>51</v>
      </c>
      <c r="J79" s="23">
        <f>IF($D79="LSF čempionatas",IFERROR($E79/SUMIFS(Parametrai!$B$2:$B$21,Parametrai!$A$2:$A$21,$A79)*SUMIFS(Parametrai!$E$2:$E$21,Parametrai!$A$2:$A$21,$A79),0),IF($D79="Kitos varžybos, deklaruotos reitingui",IFERROR($F79/MAX($G79,SUMIFS(Parametrai!$F$2:$F$21,Parametrai!$A$2:$A$21,$A79))*IF($H79="",1,$H79),0),IF($D79="Susikertančios su Lietuvos čempionatu",0.95*SUMIFS($J$2:$J$500,$B$2:$B$500,$B79,$A$2:$A$500,$A79-1),IF($D79="Papildomi (R+)",IFERROR(MAX(0,($F79-900)/1000),0),0))))</f>
        <v>0.49311350155825878</v>
      </c>
    </row>
    <row r="80" spans="1:10" ht="15" customHeight="1" x14ac:dyDescent="0.3">
      <c r="A80" s="22">
        <v>2020</v>
      </c>
      <c r="B80" s="22" t="s">
        <v>71</v>
      </c>
      <c r="C80" s="22" t="s">
        <v>53</v>
      </c>
      <c r="D80" s="22" t="s">
        <v>50</v>
      </c>
      <c r="E80" s="22">
        <v>6288</v>
      </c>
      <c r="F80" s="22"/>
      <c r="G80" s="22"/>
      <c r="H80" s="22">
        <v>1</v>
      </c>
      <c r="I80" s="22" t="s">
        <v>51</v>
      </c>
      <c r="J80" s="23">
        <f>IF($D80="LSF čempionatas",IFERROR($E80/SUMIFS(Parametrai!$B$2:$B$21,Parametrai!$A$2:$A$21,$A80)*SUMIFS(Parametrai!$E$2:$E$21,Parametrai!$A$2:$A$21,$A80),0),IF($D80="Kitos varžybos, deklaruotos reitingui",IFERROR($F80/MAX($G80,SUMIFS(Parametrai!$F$2:$F$21,Parametrai!$A$2:$A$21,$A80))*IF($H80="",1,$H80),0),IF($D80="Susikertančios su Lietuvos čempionatu",0.95*SUMIFS($J$2:$J$500,$B$2:$B$500,$B80,$A$2:$A$500,$A80-1),IF($D80="Papildomi (R+)",IFERROR(MAX(0,($F80-900)/1000),0),0))))</f>
        <v>0.6321503971046547</v>
      </c>
    </row>
    <row r="81" spans="1:10" ht="15" customHeight="1" x14ac:dyDescent="0.3">
      <c r="A81" s="22">
        <v>2020</v>
      </c>
      <c r="B81" s="22" t="s">
        <v>88</v>
      </c>
      <c r="C81" s="22" t="s">
        <v>49</v>
      </c>
      <c r="D81" s="22" t="s">
        <v>50</v>
      </c>
      <c r="E81" s="22">
        <v>5731</v>
      </c>
      <c r="F81" s="22"/>
      <c r="G81" s="22"/>
      <c r="H81" s="22">
        <v>1</v>
      </c>
      <c r="I81" s="22" t="s">
        <v>51</v>
      </c>
      <c r="J81" s="23">
        <f>IF($D81="LSF čempionatas",IFERROR($E81/SUMIFS(Parametrai!$B$2:$B$21,Parametrai!$A$2:$A$21,$A81)*SUMIFS(Parametrai!$E$2:$E$21,Parametrai!$A$2:$A$21,$A81),0),IF($D81="Kitos varžybos, deklaruotos reitingui",IFERROR($F81/MAX($G81,SUMIFS(Parametrai!$F$2:$F$21,Parametrai!$A$2:$A$21,$A81))*IF($H81="",1,$H81),0),IF($D81="Susikertančios su Lietuvos čempionatu",0.95*SUMIFS($J$2:$J$500,$B$2:$B$500,$B81,$A$2:$A$500,$A81-1),IF($D81="Papildomi (R+)",IFERROR(MAX(0,($F81-900)/1000),0),0))))</f>
        <v>0.57615361415502164</v>
      </c>
    </row>
    <row r="82" spans="1:10" ht="15" customHeight="1" x14ac:dyDescent="0.3">
      <c r="A82" s="22">
        <v>2020</v>
      </c>
      <c r="B82" s="22" t="s">
        <v>80</v>
      </c>
      <c r="C82" s="22" t="s">
        <v>53</v>
      </c>
      <c r="D82" s="22" t="s">
        <v>50</v>
      </c>
      <c r="E82" s="22">
        <v>8024</v>
      </c>
      <c r="F82" s="22"/>
      <c r="G82" s="22"/>
      <c r="H82" s="22">
        <v>1</v>
      </c>
      <c r="I82" s="22" t="s">
        <v>51</v>
      </c>
      <c r="J82" s="23">
        <f>IF($D82="LSF čempionatas",IFERROR($E82/SUMIFS(Parametrai!$B$2:$B$21,Parametrai!$A$2:$A$21,$A82)*SUMIFS(Parametrai!$E$2:$E$21,Parametrai!$A$2:$A$21,$A82),0),IF($D82="Kitos varžybos, deklaruotos reitingui",IFERROR($F82/MAX($G82,SUMIFS(Parametrai!$F$2:$F$21,Parametrai!$A$2:$A$21,$A82))*IF($H82="",1,$H82),0),IF($D82="Susikertančios su Lietuvos čempionatu",0.95*SUMIFS($J$2:$J$500,$B$2:$B$500,$B82,$A$2:$A$500,$A82-1),IF($D82="Papildomi (R+)",IFERROR(MAX(0,($F82-900)/1000),0),0))))</f>
        <v>0.80667537951141044</v>
      </c>
    </row>
    <row r="83" spans="1:10" ht="15" customHeight="1" x14ac:dyDescent="0.3">
      <c r="A83" s="22">
        <v>2020</v>
      </c>
      <c r="B83" s="22" t="s">
        <v>89</v>
      </c>
      <c r="C83" s="22" t="s">
        <v>53</v>
      </c>
      <c r="D83" s="22" t="s">
        <v>50</v>
      </c>
      <c r="E83" s="22">
        <v>5755</v>
      </c>
      <c r="F83" s="22"/>
      <c r="G83" s="22"/>
      <c r="H83" s="22">
        <v>1</v>
      </c>
      <c r="I83" s="22" t="s">
        <v>51</v>
      </c>
      <c r="J83" s="23">
        <f>IF($D83="LSF čempionatas",IFERROR($E83/SUMIFS(Parametrai!$B$2:$B$21,Parametrai!$A$2:$A$21,$A83)*SUMIFS(Parametrai!$E$2:$E$21,Parametrai!$A$2:$A$21,$A83),0),IF($D83="Kitos varžybos, deklaruotos reitingui",IFERROR($F83/MAX($G83,SUMIFS(Parametrai!$F$2:$F$21,Parametrai!$A$2:$A$21,$A83))*IF($H83="",1,$H83),0),IF($D83="Susikertančios su Lietuvos čempionatu",0.95*SUMIFS($J$2:$J$500,$B$2:$B$500,$B83,$A$2:$A$500,$A83-1),IF($D83="Papildomi (R+)",IFERROR(MAX(0,($F83-900)/1000),0),0))))</f>
        <v>0.57856640193023023</v>
      </c>
    </row>
    <row r="84" spans="1:10" ht="15" customHeight="1" x14ac:dyDescent="0.3">
      <c r="A84" s="22">
        <v>2020</v>
      </c>
      <c r="B84" s="22" t="s">
        <v>90</v>
      </c>
      <c r="C84" s="22" t="s">
        <v>49</v>
      </c>
      <c r="D84" s="22" t="s">
        <v>50</v>
      </c>
      <c r="E84" s="22">
        <v>4609</v>
      </c>
      <c r="F84" s="22"/>
      <c r="G84" s="22"/>
      <c r="H84" s="22">
        <v>1</v>
      </c>
      <c r="I84" s="22" t="s">
        <v>51</v>
      </c>
      <c r="J84" s="23">
        <f>IF($D84="LSF čempionatas",IFERROR($E84/SUMIFS(Parametrai!$B$2:$B$21,Parametrai!$A$2:$A$21,$A84)*SUMIFS(Parametrai!$E$2:$E$21,Parametrai!$A$2:$A$21,$A84),0),IF($D84="Kitos varžybos, deklaruotos reitingui",IFERROR($F84/MAX($G84,SUMIFS(Parametrai!$F$2:$F$21,Parametrai!$A$2:$A$21,$A84))*IF($H84="",1,$H84),0),IF($D84="Susikertančios su Lietuvos čempionatu",0.95*SUMIFS($J$2:$J$500,$B$2:$B$500,$B84,$A$2:$A$500,$A84-1),IF($D84="Papildomi (R+)",IFERROR(MAX(0,($F84-900)/1000),0),0))))</f>
        <v>0.4633557856640193</v>
      </c>
    </row>
    <row r="85" spans="1:10" ht="15" customHeight="1" x14ac:dyDescent="0.3">
      <c r="A85" s="22">
        <v>2020</v>
      </c>
      <c r="B85" s="22" t="s">
        <v>83</v>
      </c>
      <c r="C85" s="22" t="s">
        <v>56</v>
      </c>
      <c r="D85" s="22" t="s">
        <v>50</v>
      </c>
      <c r="E85" s="22">
        <v>9150</v>
      </c>
      <c r="F85" s="22"/>
      <c r="G85" s="22"/>
      <c r="H85" s="22">
        <v>1</v>
      </c>
      <c r="I85" s="22" t="s">
        <v>51</v>
      </c>
      <c r="J85" s="23">
        <f>IF($D85="LSF čempionatas",IFERROR($E85/SUMIFS(Parametrai!$B$2:$B$21,Parametrai!$A$2:$A$21,$A85)*SUMIFS(Parametrai!$E$2:$E$21,Parametrai!$A$2:$A$21,$A85),0),IF($D85="Kitos varžybos, deklaruotos reitingui",IFERROR($F85/MAX($G85,SUMIFS(Parametrai!$F$2:$F$21,Parametrai!$A$2:$A$21,$A85))*IF($H85="",1,$H85),0),IF($D85="Susikertančios su Lietuvos čempionatu",0.95*SUMIFS($J$2:$J$500,$B$2:$B$500,$B85,$A$2:$A$500,$A85-1),IF($D85="Papildomi (R+)",IFERROR(MAX(0,($F85-900)/1000),0),0))))</f>
        <v>0.91987533929828091</v>
      </c>
    </row>
    <row r="86" spans="1:10" ht="15" customHeight="1" x14ac:dyDescent="0.3">
      <c r="A86" s="22">
        <v>2020</v>
      </c>
      <c r="B86" s="22" t="s">
        <v>72</v>
      </c>
      <c r="C86" s="22" t="s">
        <v>53</v>
      </c>
      <c r="D86" s="22" t="s">
        <v>50</v>
      </c>
      <c r="E86" s="22">
        <v>9617</v>
      </c>
      <c r="F86" s="22"/>
      <c r="G86" s="22"/>
      <c r="H86" s="22">
        <v>1</v>
      </c>
      <c r="I86" s="22" t="s">
        <v>51</v>
      </c>
      <c r="J86" s="23">
        <f>IF($D86="LSF čempionatas",IFERROR($E86/SUMIFS(Parametrai!$B$2:$B$21,Parametrai!$A$2:$A$21,$A86)*SUMIFS(Parametrai!$E$2:$E$21,Parametrai!$A$2:$A$21,$A86),0),IF($D86="Kitos varžybos, deklaruotos reitingui",IFERROR($F86/MAX($G86,SUMIFS(Parametrai!$F$2:$F$21,Parametrai!$A$2:$A$21,$A86))*IF($H86="",1,$H86),0),IF($D86="Susikertančios su Lietuvos čempionatu",0.95*SUMIFS($J$2:$J$500,$B$2:$B$500,$B86,$A$2:$A$500,$A86-1),IF($D86="Papildomi (R+)",IFERROR(MAX(0,($F86-900)/1000),0),0))))</f>
        <v>0.96682416809088167</v>
      </c>
    </row>
    <row r="87" spans="1:10" ht="15" customHeight="1" x14ac:dyDescent="0.3">
      <c r="A87" s="22">
        <v>2020</v>
      </c>
      <c r="B87" s="22" t="s">
        <v>73</v>
      </c>
      <c r="C87" s="22" t="s">
        <v>53</v>
      </c>
      <c r="D87" s="22" t="s">
        <v>50</v>
      </c>
      <c r="E87" s="22">
        <v>2598</v>
      </c>
      <c r="F87" s="22"/>
      <c r="G87" s="22"/>
      <c r="H87" s="22">
        <v>1</v>
      </c>
      <c r="I87" s="22" t="s">
        <v>51</v>
      </c>
      <c r="J87" s="23">
        <f>IF($D87="LSF čempionatas",IFERROR($E87/SUMIFS(Parametrai!$B$2:$B$21,Parametrai!$A$2:$A$21,$A87)*SUMIFS(Parametrai!$E$2:$E$21,Parametrai!$A$2:$A$21,$A87),0),IF($D87="Kitos varžybos, deklaruotos reitingui",IFERROR($F87/MAX($G87,SUMIFS(Parametrai!$F$2:$F$21,Parametrai!$A$2:$A$21,$A87))*IF($H87="",1,$H87),0),IF($D87="Susikertančios su Lietuvos čempionatu",0.95*SUMIFS($J$2:$J$500,$B$2:$B$500,$B87,$A$2:$A$500,$A87-1),IF($D87="Papildomi (R+)",IFERROR(MAX(0,($F87-900)/1000),0),0))))</f>
        <v>0.26118427666633154</v>
      </c>
    </row>
    <row r="88" spans="1:10" ht="15" customHeight="1" x14ac:dyDescent="0.3">
      <c r="A88" s="22">
        <v>2020</v>
      </c>
      <c r="B88" s="22" t="s">
        <v>74</v>
      </c>
      <c r="C88" s="22" t="s">
        <v>53</v>
      </c>
      <c r="D88" s="22" t="s">
        <v>50</v>
      </c>
      <c r="E88" s="22">
        <v>5747</v>
      </c>
      <c r="F88" s="22"/>
      <c r="G88" s="22"/>
      <c r="H88" s="22">
        <v>1</v>
      </c>
      <c r="I88" s="22" t="s">
        <v>51</v>
      </c>
      <c r="J88" s="23">
        <f>IF($D88="LSF čempionatas",IFERROR($E88/SUMIFS(Parametrai!$B$2:$B$21,Parametrai!$A$2:$A$21,$A88)*SUMIFS(Parametrai!$E$2:$E$21,Parametrai!$A$2:$A$21,$A88),0),IF($D88="Kitos varžybos, deklaruotos reitingui",IFERROR($F88/MAX($G88,SUMIFS(Parametrai!$F$2:$F$21,Parametrai!$A$2:$A$21,$A88))*IF($H88="",1,$H88),0),IF($D88="Susikertančios su Lietuvos čempionatu",0.95*SUMIFS($J$2:$J$500,$B$2:$B$500,$B88,$A$2:$A$500,$A88-1),IF($D88="Papildomi (R+)",IFERROR(MAX(0,($F88-900)/1000),0),0))))</f>
        <v>0.57776213933849396</v>
      </c>
    </row>
    <row r="89" spans="1:10" ht="15" customHeight="1" x14ac:dyDescent="0.3">
      <c r="A89" s="22">
        <v>2020</v>
      </c>
      <c r="B89" s="22" t="s">
        <v>75</v>
      </c>
      <c r="C89" s="22" t="s">
        <v>56</v>
      </c>
      <c r="D89" s="22" t="s">
        <v>50</v>
      </c>
      <c r="E89" s="22">
        <v>8955</v>
      </c>
      <c r="F89" s="22"/>
      <c r="G89" s="22"/>
      <c r="H89" s="22">
        <v>1</v>
      </c>
      <c r="I89" s="22" t="s">
        <v>51</v>
      </c>
      <c r="J89" s="23">
        <f>IF($D89="LSF čempionatas",IFERROR($E89/SUMIFS(Parametrai!$B$2:$B$21,Parametrai!$A$2:$A$21,$A89)*SUMIFS(Parametrai!$E$2:$E$21,Parametrai!$A$2:$A$21,$A89),0),IF($D89="Kitos varžybos, deklaruotos reitingui",IFERROR($F89/MAX($G89,SUMIFS(Parametrai!$F$2:$F$21,Parametrai!$A$2:$A$21,$A89))*IF($H89="",1,$H89),0),IF($D89="Susikertančios su Lietuvos čempionatu",0.95*SUMIFS($J$2:$J$500,$B$2:$B$500,$B89,$A$2:$A$500,$A89-1),IF($D89="Papildomi (R+)",IFERROR(MAX(0,($F89-900)/1000),0),0))))</f>
        <v>0.90027143862471093</v>
      </c>
    </row>
    <row r="90" spans="1:10" ht="15" customHeight="1" x14ac:dyDescent="0.3">
      <c r="A90" s="22">
        <v>2021</v>
      </c>
      <c r="B90" s="22" t="s">
        <v>48</v>
      </c>
      <c r="C90" s="22" t="s">
        <v>49</v>
      </c>
      <c r="D90" s="22" t="s">
        <v>50</v>
      </c>
      <c r="E90" s="22">
        <v>4974</v>
      </c>
      <c r="F90" s="22"/>
      <c r="G90" s="22"/>
      <c r="H90" s="22">
        <v>1</v>
      </c>
      <c r="I90" s="22" t="s">
        <v>51</v>
      </c>
      <c r="J90" s="23">
        <f>IF($D90="LSF čempionatas",IFERROR($E90/SUMIFS(Parametrai!$B$2:$B$21,Parametrai!$A$2:$A$21,$A90)*SUMIFS(Parametrai!$E$2:$E$21,Parametrai!$A$2:$A$21,$A90),0),IF($D90="Kitos varžybos, deklaruotos reitingui",IFERROR($F90/MAX($G90,SUMIFS(Parametrai!$F$2:$F$21,Parametrai!$A$2:$A$21,$A90))*IF($H90="",1,$H90),0),IF($D90="Susikertančios su Lietuvos čempionatu",0.95*SUMIFS($J$2:$J$500,$B$2:$B$500,$B90,$A$2:$A$500,$A90-1),IF($D90="Papildomi (R+)",IFERROR(MAX(0,($F90-900)/1000),0),0))))</f>
        <v>0.82282878411910665</v>
      </c>
    </row>
    <row r="91" spans="1:10" ht="15" customHeight="1" x14ac:dyDescent="0.3">
      <c r="A91" s="22">
        <v>2021</v>
      </c>
      <c r="B91" s="22" t="s">
        <v>54</v>
      </c>
      <c r="C91" s="22" t="s">
        <v>49</v>
      </c>
      <c r="D91" s="22" t="s">
        <v>50</v>
      </c>
      <c r="E91" s="22">
        <v>3973</v>
      </c>
      <c r="F91" s="22"/>
      <c r="G91" s="22"/>
      <c r="H91" s="22">
        <v>1</v>
      </c>
      <c r="I91" s="22" t="s">
        <v>51</v>
      </c>
      <c r="J91" s="23">
        <f>IF($D91="LSF čempionatas",IFERROR($E91/SUMIFS(Parametrai!$B$2:$B$21,Parametrai!$A$2:$A$21,$A91)*SUMIFS(Parametrai!$E$2:$E$21,Parametrai!$A$2:$A$21,$A91),0),IF($D91="Kitos varžybos, deklaruotos reitingui",IFERROR($F91/MAX($G91,SUMIFS(Parametrai!$F$2:$F$21,Parametrai!$A$2:$A$21,$A91))*IF($H91="",1,$H91),0),IF($D91="Susikertančios su Lietuvos čempionatu",0.95*SUMIFS($J$2:$J$500,$B$2:$B$500,$B91,$A$2:$A$500,$A91-1),IF($D91="Papildomi (R+)",IFERROR(MAX(0,($F91-900)/1000),0),0))))</f>
        <v>0.65723738626964434</v>
      </c>
    </row>
    <row r="92" spans="1:10" ht="15" customHeight="1" x14ac:dyDescent="0.3">
      <c r="A92" s="22">
        <v>2021</v>
      </c>
      <c r="B92" s="22" t="s">
        <v>55</v>
      </c>
      <c r="C92" s="22" t="s">
        <v>56</v>
      </c>
      <c r="D92" s="22" t="s">
        <v>50</v>
      </c>
      <c r="E92" s="22">
        <v>3692</v>
      </c>
      <c r="F92" s="22"/>
      <c r="G92" s="22"/>
      <c r="H92" s="22">
        <v>1</v>
      </c>
      <c r="I92" s="22" t="s">
        <v>51</v>
      </c>
      <c r="J92" s="23">
        <f>IF($D92="LSF čempionatas",IFERROR($E92/SUMIFS(Parametrai!$B$2:$B$21,Parametrai!$A$2:$A$21,$A92)*SUMIFS(Parametrai!$E$2:$E$21,Parametrai!$A$2:$A$21,$A92),0),IF($D92="Kitos varžybos, deklaruotos reitingui",IFERROR($F92/MAX($G92,SUMIFS(Parametrai!$F$2:$F$21,Parametrai!$A$2:$A$21,$A92))*IF($H92="",1,$H92),0),IF($D92="Susikertančios su Lietuvos čempionatu",0.95*SUMIFS($J$2:$J$500,$B$2:$B$500,$B92,$A$2:$A$500,$A92-1),IF($D92="Papildomi (R+)",IFERROR(MAX(0,($F92-900)/1000),0),0))))</f>
        <v>0.61075268817204298</v>
      </c>
    </row>
    <row r="93" spans="1:10" ht="15" customHeight="1" x14ac:dyDescent="0.3">
      <c r="A93" s="22">
        <v>2021</v>
      </c>
      <c r="B93" s="22" t="s">
        <v>91</v>
      </c>
      <c r="C93" s="22" t="s">
        <v>92</v>
      </c>
      <c r="D93" s="22" t="s">
        <v>50</v>
      </c>
      <c r="E93" s="22">
        <v>4835</v>
      </c>
      <c r="F93" s="22"/>
      <c r="G93" s="22"/>
      <c r="H93" s="22">
        <v>1</v>
      </c>
      <c r="I93" s="22" t="s">
        <v>51</v>
      </c>
      <c r="J93" s="23">
        <f>IF($D93="LSF čempionatas",IFERROR($E93/SUMIFS(Parametrai!$B$2:$B$21,Parametrai!$A$2:$A$21,$A93)*SUMIFS(Parametrai!$E$2:$E$21,Parametrai!$A$2:$A$21,$A93),0),IF($D93="Kitos varžybos, deklaruotos reitingui",IFERROR($F93/MAX($G93,SUMIFS(Parametrai!$F$2:$F$21,Parametrai!$A$2:$A$21,$A93))*IF($H93="",1,$H93),0),IF($D93="Susikertančios su Lietuvos čempionatu",0.95*SUMIFS($J$2:$J$500,$B$2:$B$500,$B93,$A$2:$A$500,$A93-1),IF($D93="Papildomi (R+)",IFERROR(MAX(0,($F93-900)/1000),0),0))))</f>
        <v>0.79983457402812241</v>
      </c>
    </row>
    <row r="94" spans="1:10" ht="15" customHeight="1" x14ac:dyDescent="0.3">
      <c r="A94" s="22">
        <v>2021</v>
      </c>
      <c r="B94" s="22" t="s">
        <v>81</v>
      </c>
      <c r="C94" s="22" t="s">
        <v>49</v>
      </c>
      <c r="D94" s="22" t="s">
        <v>50</v>
      </c>
      <c r="E94" s="22">
        <v>5558</v>
      </c>
      <c r="F94" s="22"/>
      <c r="G94" s="22"/>
      <c r="H94" s="22">
        <v>1</v>
      </c>
      <c r="I94" s="22" t="s">
        <v>51</v>
      </c>
      <c r="J94" s="23">
        <f>IF($D94="LSF čempionatas",IFERROR($E94/SUMIFS(Parametrai!$B$2:$B$21,Parametrai!$A$2:$A$21,$A94)*SUMIFS(Parametrai!$E$2:$E$21,Parametrai!$A$2:$A$21,$A94),0),IF($D94="Kitos varžybos, deklaruotos reitingui",IFERROR($F94/MAX($G94,SUMIFS(Parametrai!$F$2:$F$21,Parametrai!$A$2:$A$21,$A94))*IF($H94="",1,$H94),0),IF($D94="Susikertančios su Lietuvos čempionatu",0.95*SUMIFS($J$2:$J$500,$B$2:$B$500,$B94,$A$2:$A$500,$A94-1),IF($D94="Papildomi (R+)",IFERROR(MAX(0,($F94-900)/1000),0),0))))</f>
        <v>0.91943755169561625</v>
      </c>
    </row>
    <row r="95" spans="1:10" ht="15" customHeight="1" x14ac:dyDescent="0.3">
      <c r="A95" s="22">
        <v>2021</v>
      </c>
      <c r="B95" s="22" t="s">
        <v>57</v>
      </c>
      <c r="C95" s="22" t="s">
        <v>53</v>
      </c>
      <c r="D95" s="22" t="s">
        <v>50</v>
      </c>
      <c r="E95" s="22">
        <v>5545</v>
      </c>
      <c r="F95" s="22"/>
      <c r="G95" s="22"/>
      <c r="H95" s="22">
        <v>1</v>
      </c>
      <c r="I95" s="22" t="s">
        <v>51</v>
      </c>
      <c r="J95" s="23">
        <f>IF($D95="LSF čempionatas",IFERROR($E95/SUMIFS(Parametrai!$B$2:$B$21,Parametrai!$A$2:$A$21,$A95)*SUMIFS(Parametrai!$E$2:$E$21,Parametrai!$A$2:$A$21,$A95),0),IF($D95="Kitos varžybos, deklaruotos reitingui",IFERROR($F95/MAX($G95,SUMIFS(Parametrai!$F$2:$F$21,Parametrai!$A$2:$A$21,$A95))*IF($H95="",1,$H95),0),IF($D95="Susikertančios su Lietuvos čempionatu",0.95*SUMIFS($J$2:$J$500,$B$2:$B$500,$B95,$A$2:$A$500,$A95-1),IF($D95="Papildomi (R+)",IFERROR(MAX(0,($F95-900)/1000),0),0))))</f>
        <v>0.91728701406120761</v>
      </c>
    </row>
    <row r="96" spans="1:10" ht="15" customHeight="1" x14ac:dyDescent="0.3">
      <c r="A96" s="22">
        <v>2021</v>
      </c>
      <c r="B96" s="22" t="s">
        <v>58</v>
      </c>
      <c r="C96" s="22" t="s">
        <v>59</v>
      </c>
      <c r="D96" s="22" t="s">
        <v>50</v>
      </c>
      <c r="E96" s="22">
        <v>5654</v>
      </c>
      <c r="F96" s="22"/>
      <c r="G96" s="22"/>
      <c r="H96" s="22">
        <v>1</v>
      </c>
      <c r="I96" s="22" t="s">
        <v>51</v>
      </c>
      <c r="J96" s="23">
        <f>IF($D96="LSF čempionatas",IFERROR($E96/SUMIFS(Parametrai!$B$2:$B$21,Parametrai!$A$2:$A$21,$A96)*SUMIFS(Parametrai!$E$2:$E$21,Parametrai!$A$2:$A$21,$A96),0),IF($D96="Kitos varžybos, deklaruotos reitingui",IFERROR($F96/MAX($G96,SUMIFS(Parametrai!$F$2:$F$21,Parametrai!$A$2:$A$21,$A96))*IF($H96="",1,$H96),0),IF($D96="Susikertančios su Lietuvos čempionatu",0.95*SUMIFS($J$2:$J$500,$B$2:$B$500,$B96,$A$2:$A$500,$A96-1),IF($D96="Papildomi (R+)",IFERROR(MAX(0,($F96-900)/1000),0),0))))</f>
        <v>0.93531844499586436</v>
      </c>
    </row>
    <row r="97" spans="1:10" ht="15" customHeight="1" x14ac:dyDescent="0.3">
      <c r="A97" s="22">
        <v>2021</v>
      </c>
      <c r="B97" s="22" t="s">
        <v>60</v>
      </c>
      <c r="C97" s="22" t="s">
        <v>61</v>
      </c>
      <c r="D97" s="22" t="s">
        <v>50</v>
      </c>
      <c r="E97" s="22">
        <v>3977</v>
      </c>
      <c r="F97" s="22"/>
      <c r="G97" s="22"/>
      <c r="H97" s="22">
        <v>1</v>
      </c>
      <c r="I97" s="22" t="s">
        <v>51</v>
      </c>
      <c r="J97" s="23">
        <f>IF($D97="LSF čempionatas",IFERROR($E97/SUMIFS(Parametrai!$B$2:$B$21,Parametrai!$A$2:$A$21,$A97)*SUMIFS(Parametrai!$E$2:$E$21,Parametrai!$A$2:$A$21,$A97),0),IF($D97="Kitos varžybos, deklaruotos reitingui",IFERROR($F97/MAX($G97,SUMIFS(Parametrai!$F$2:$F$21,Parametrai!$A$2:$A$21,$A97))*IF($H97="",1,$H97),0),IF($D97="Susikertančios su Lietuvos čempionatu",0.95*SUMIFS($J$2:$J$500,$B$2:$B$500,$B97,$A$2:$A$500,$A97-1),IF($D97="Papildomi (R+)",IFERROR(MAX(0,($F97-900)/1000),0),0))))</f>
        <v>0.65789909015715464</v>
      </c>
    </row>
    <row r="98" spans="1:10" ht="15" customHeight="1" x14ac:dyDescent="0.3">
      <c r="A98" s="22">
        <v>2021</v>
      </c>
      <c r="B98" s="22" t="s">
        <v>62</v>
      </c>
      <c r="C98" s="22" t="s">
        <v>56</v>
      </c>
      <c r="D98" s="22" t="s">
        <v>50</v>
      </c>
      <c r="E98" s="22">
        <v>6045</v>
      </c>
      <c r="F98" s="22"/>
      <c r="G98" s="22"/>
      <c r="H98" s="22">
        <v>1</v>
      </c>
      <c r="I98" s="22" t="s">
        <v>51</v>
      </c>
      <c r="J98" s="23">
        <f>IF($D98="LSF čempionatas",IFERROR($E98/SUMIFS(Parametrai!$B$2:$B$21,Parametrai!$A$2:$A$21,$A98)*SUMIFS(Parametrai!$E$2:$E$21,Parametrai!$A$2:$A$21,$A98),0),IF($D98="Kitos varžybos, deklaruotos reitingui",IFERROR($F98/MAX($G98,SUMIFS(Parametrai!$F$2:$F$21,Parametrai!$A$2:$A$21,$A98))*IF($H98="",1,$H98),0),IF($D98="Susikertančios su Lietuvos čempionatu",0.95*SUMIFS($J$2:$J$500,$B$2:$B$500,$B98,$A$2:$A$500,$A98-1),IF($D98="Papildomi (R+)",IFERROR(MAX(0,($F98-900)/1000),0),0))))</f>
        <v>1</v>
      </c>
    </row>
    <row r="99" spans="1:10" ht="15" customHeight="1" x14ac:dyDescent="0.3">
      <c r="A99" s="22">
        <v>2021</v>
      </c>
      <c r="B99" s="22" t="s">
        <v>63</v>
      </c>
      <c r="C99" s="22" t="s">
        <v>53</v>
      </c>
      <c r="D99" s="22" t="s">
        <v>50</v>
      </c>
      <c r="E99" s="22">
        <v>2968</v>
      </c>
      <c r="F99" s="22"/>
      <c r="G99" s="22"/>
      <c r="H99" s="22">
        <v>1</v>
      </c>
      <c r="I99" s="22" t="s">
        <v>51</v>
      </c>
      <c r="J99" s="23">
        <f>IF($D99="LSF čempionatas",IFERROR($E99/SUMIFS(Parametrai!$B$2:$B$21,Parametrai!$A$2:$A$21,$A99)*SUMIFS(Parametrai!$E$2:$E$21,Parametrai!$A$2:$A$21,$A99),0),IF($D99="Kitos varžybos, deklaruotos reitingui",IFERROR($F99/MAX($G99,SUMIFS(Parametrai!$F$2:$F$21,Parametrai!$A$2:$A$21,$A99))*IF($H99="",1,$H99),0),IF($D99="Susikertančios su Lietuvos čempionatu",0.95*SUMIFS($J$2:$J$500,$B$2:$B$500,$B99,$A$2:$A$500,$A99-1),IF($D99="Papildomi (R+)",IFERROR(MAX(0,($F99-900)/1000),0),0))))</f>
        <v>0.49098428453267162</v>
      </c>
    </row>
    <row r="100" spans="1:10" ht="15" customHeight="1" x14ac:dyDescent="0.3">
      <c r="A100" s="22">
        <v>2021</v>
      </c>
      <c r="B100" s="22" t="s">
        <v>93</v>
      </c>
      <c r="C100" s="22" t="s">
        <v>49</v>
      </c>
      <c r="D100" s="22" t="s">
        <v>50</v>
      </c>
      <c r="E100" s="22">
        <v>5241</v>
      </c>
      <c r="F100" s="22"/>
      <c r="G100" s="22"/>
      <c r="H100" s="22">
        <v>1</v>
      </c>
      <c r="I100" s="22" t="s">
        <v>51</v>
      </c>
      <c r="J100" s="23">
        <f>IF($D100="LSF čempionatas",IFERROR($E100/SUMIFS(Parametrai!$B$2:$B$21,Parametrai!$A$2:$A$21,$A100)*SUMIFS(Parametrai!$E$2:$E$21,Parametrai!$A$2:$A$21,$A100),0),IF($D100="Kitos varžybos, deklaruotos reitingui",IFERROR($F100/MAX($G100,SUMIFS(Parametrai!$F$2:$F$21,Parametrai!$A$2:$A$21,$A100))*IF($H100="",1,$H100),0),IF($D100="Susikertančios su Lietuvos čempionatu",0.95*SUMIFS($J$2:$J$500,$B$2:$B$500,$B100,$A$2:$A$500,$A100-1),IF($D100="Papildomi (R+)",IFERROR(MAX(0,($F100-900)/1000),0),0))))</f>
        <v>0.86699751861042185</v>
      </c>
    </row>
    <row r="101" spans="1:10" ht="15" customHeight="1" x14ac:dyDescent="0.3">
      <c r="A101" s="22">
        <v>2021</v>
      </c>
      <c r="B101" s="22" t="s">
        <v>78</v>
      </c>
      <c r="C101" s="22" t="s">
        <v>53</v>
      </c>
      <c r="D101" s="22" t="s">
        <v>50</v>
      </c>
      <c r="E101" s="22">
        <v>3453</v>
      </c>
      <c r="F101" s="22"/>
      <c r="G101" s="22"/>
      <c r="H101" s="22">
        <v>1</v>
      </c>
      <c r="I101" s="22" t="s">
        <v>51</v>
      </c>
      <c r="J101" s="23">
        <f>IF($D101="LSF čempionatas",IFERROR($E101/SUMIFS(Parametrai!$B$2:$B$21,Parametrai!$A$2:$A$21,$A101)*SUMIFS(Parametrai!$E$2:$E$21,Parametrai!$A$2:$A$21,$A101),0),IF($D101="Kitos varžybos, deklaruotos reitingui",IFERROR($F101/MAX($G101,SUMIFS(Parametrai!$F$2:$F$21,Parametrai!$A$2:$A$21,$A101))*IF($H101="",1,$H101),0),IF($D101="Susikertančios su Lietuvos čempionatu",0.95*SUMIFS($J$2:$J$500,$B$2:$B$500,$B101,$A$2:$A$500,$A101-1),IF($D101="Papildomi (R+)",IFERROR(MAX(0,($F101-900)/1000),0),0))))</f>
        <v>0.57121588089330022</v>
      </c>
    </row>
    <row r="102" spans="1:10" ht="15" customHeight="1" x14ac:dyDescent="0.3">
      <c r="A102" s="22">
        <v>2021</v>
      </c>
      <c r="B102" s="22" t="s">
        <v>86</v>
      </c>
      <c r="C102" s="22" t="s">
        <v>49</v>
      </c>
      <c r="D102" s="22" t="s">
        <v>50</v>
      </c>
      <c r="E102" s="22">
        <v>5263</v>
      </c>
      <c r="F102" s="22"/>
      <c r="G102" s="22"/>
      <c r="H102" s="22">
        <v>1</v>
      </c>
      <c r="I102" s="22" t="s">
        <v>51</v>
      </c>
      <c r="J102" s="23">
        <f>IF($D102="LSF čempionatas",IFERROR($E102/SUMIFS(Parametrai!$B$2:$B$21,Parametrai!$A$2:$A$21,$A102)*SUMIFS(Parametrai!$E$2:$E$21,Parametrai!$A$2:$A$21,$A102),0),IF($D102="Kitos varžybos, deklaruotos reitingui",IFERROR($F102/MAX($G102,SUMIFS(Parametrai!$F$2:$F$21,Parametrai!$A$2:$A$21,$A102))*IF($H102="",1,$H102),0),IF($D102="Susikertančios su Lietuvos čempionatu",0.95*SUMIFS($J$2:$J$500,$B$2:$B$500,$B102,$A$2:$A$500,$A102-1),IF($D102="Papildomi (R+)",IFERROR(MAX(0,($F102-900)/1000),0),0))))</f>
        <v>0.87063688999172872</v>
      </c>
    </row>
    <row r="103" spans="1:10" ht="15" customHeight="1" x14ac:dyDescent="0.3">
      <c r="A103" s="22">
        <v>2021</v>
      </c>
      <c r="B103" s="22" t="s">
        <v>67</v>
      </c>
      <c r="C103" s="22" t="s">
        <v>53</v>
      </c>
      <c r="D103" s="22" t="s">
        <v>50</v>
      </c>
      <c r="E103" s="22">
        <v>4708</v>
      </c>
      <c r="F103" s="22"/>
      <c r="G103" s="22"/>
      <c r="H103" s="22">
        <v>1</v>
      </c>
      <c r="I103" s="22" t="s">
        <v>51</v>
      </c>
      <c r="J103" s="23">
        <f>IF($D103="LSF čempionatas",IFERROR($E103/SUMIFS(Parametrai!$B$2:$B$21,Parametrai!$A$2:$A$21,$A103)*SUMIFS(Parametrai!$E$2:$E$21,Parametrai!$A$2:$A$21,$A103),0),IF($D103="Kitos varžybos, deklaruotos reitingui",IFERROR($F103/MAX($G103,SUMIFS(Parametrai!$F$2:$F$21,Parametrai!$A$2:$A$21,$A103))*IF($H103="",1,$H103),0),IF($D103="Susikertančios su Lietuvos čempionatu",0.95*SUMIFS($J$2:$J$500,$B$2:$B$500,$B103,$A$2:$A$500,$A103-1),IF($D103="Papildomi (R+)",IFERROR(MAX(0,($F103-900)/1000),0),0))))</f>
        <v>0.77882547559966919</v>
      </c>
    </row>
    <row r="104" spans="1:10" ht="15" customHeight="1" x14ac:dyDescent="0.3">
      <c r="A104" s="22">
        <v>2021</v>
      </c>
      <c r="B104" s="22" t="s">
        <v>68</v>
      </c>
      <c r="C104" s="22" t="s">
        <v>69</v>
      </c>
      <c r="D104" s="22" t="s">
        <v>50</v>
      </c>
      <c r="E104" s="22">
        <v>4671</v>
      </c>
      <c r="F104" s="22"/>
      <c r="G104" s="22"/>
      <c r="H104" s="22">
        <v>1</v>
      </c>
      <c r="I104" s="22" t="s">
        <v>51</v>
      </c>
      <c r="J104" s="23">
        <f>IF($D104="LSF čempionatas",IFERROR($E104/SUMIFS(Parametrai!$B$2:$B$21,Parametrai!$A$2:$A$21,$A104)*SUMIFS(Parametrai!$E$2:$E$21,Parametrai!$A$2:$A$21,$A104),0),IF($D104="Kitos varžybos, deklaruotos reitingui",IFERROR($F104/MAX($G104,SUMIFS(Parametrai!$F$2:$F$21,Parametrai!$A$2:$A$21,$A104))*IF($H104="",1,$H104),0),IF($D104="Susikertančios su Lietuvos čempionatu",0.95*SUMIFS($J$2:$J$500,$B$2:$B$500,$B104,$A$2:$A$500,$A104-1),IF($D104="Papildomi (R+)",IFERROR(MAX(0,($F104-900)/1000),0),0))))</f>
        <v>0.77270471464019852</v>
      </c>
    </row>
    <row r="105" spans="1:10" ht="15" customHeight="1" x14ac:dyDescent="0.3">
      <c r="A105" s="22">
        <v>2021</v>
      </c>
      <c r="B105" s="22" t="s">
        <v>70</v>
      </c>
      <c r="C105" s="22" t="s">
        <v>53</v>
      </c>
      <c r="D105" s="22" t="s">
        <v>50</v>
      </c>
      <c r="E105" s="22">
        <v>978</v>
      </c>
      <c r="F105" s="22"/>
      <c r="G105" s="22"/>
      <c r="H105" s="22">
        <v>1</v>
      </c>
      <c r="I105" s="22" t="s">
        <v>51</v>
      </c>
      <c r="J105" s="23">
        <f>IF($D105="LSF čempionatas",IFERROR($E105/SUMIFS(Parametrai!$B$2:$B$21,Parametrai!$A$2:$A$21,$A105)*SUMIFS(Parametrai!$E$2:$E$21,Parametrai!$A$2:$A$21,$A105),0),IF($D105="Kitos varžybos, deklaruotos reitingui",IFERROR($F105/MAX($G105,SUMIFS(Parametrai!$F$2:$F$21,Parametrai!$A$2:$A$21,$A105))*IF($H105="",1,$H105),0),IF($D105="Susikertančios su Lietuvos čempionatu",0.95*SUMIFS($J$2:$J$500,$B$2:$B$500,$B105,$A$2:$A$500,$A105-1),IF($D105="Papildomi (R+)",IFERROR(MAX(0,($F105-900)/1000),0),0))))</f>
        <v>0.16178660049627791</v>
      </c>
    </row>
    <row r="106" spans="1:10" ht="15" customHeight="1" x14ac:dyDescent="0.3">
      <c r="A106" s="22">
        <v>2021</v>
      </c>
      <c r="B106" s="22" t="s">
        <v>80</v>
      </c>
      <c r="C106" s="22" t="s">
        <v>53</v>
      </c>
      <c r="D106" s="22" t="s">
        <v>50</v>
      </c>
      <c r="E106" s="22">
        <v>4858</v>
      </c>
      <c r="F106" s="22"/>
      <c r="G106" s="22"/>
      <c r="H106" s="22">
        <v>1</v>
      </c>
      <c r="I106" s="22" t="s">
        <v>51</v>
      </c>
      <c r="J106" s="23">
        <f>IF($D106="LSF čempionatas",IFERROR($E106/SUMIFS(Parametrai!$B$2:$B$21,Parametrai!$A$2:$A$21,$A106)*SUMIFS(Parametrai!$E$2:$E$21,Parametrai!$A$2:$A$21,$A106),0),IF($D106="Kitos varžybos, deklaruotos reitingui",IFERROR($F106/MAX($G106,SUMIFS(Parametrai!$F$2:$F$21,Parametrai!$A$2:$A$21,$A106))*IF($H106="",1,$H106),0),IF($D106="Susikertančios su Lietuvos čempionatu",0.95*SUMIFS($J$2:$J$500,$B$2:$B$500,$B106,$A$2:$A$500,$A106-1),IF($D106="Papildomi (R+)",IFERROR(MAX(0,($F106-900)/1000),0),0))))</f>
        <v>0.80363937138130681</v>
      </c>
    </row>
    <row r="107" spans="1:10" ht="15" customHeight="1" x14ac:dyDescent="0.3">
      <c r="A107" s="22">
        <v>2021</v>
      </c>
      <c r="B107" s="22" t="s">
        <v>89</v>
      </c>
      <c r="C107" s="22" t="s">
        <v>53</v>
      </c>
      <c r="D107" s="22" t="s">
        <v>50</v>
      </c>
      <c r="E107" s="22">
        <v>3109</v>
      </c>
      <c r="F107" s="22"/>
      <c r="G107" s="22"/>
      <c r="H107" s="22">
        <v>1</v>
      </c>
      <c r="I107" s="22" t="s">
        <v>51</v>
      </c>
      <c r="J107" s="23">
        <f>IF($D107="LSF čempionatas",IFERROR($E107/SUMIFS(Parametrai!$B$2:$B$21,Parametrai!$A$2:$A$21,$A107)*SUMIFS(Parametrai!$E$2:$E$21,Parametrai!$A$2:$A$21,$A107),0),IF($D107="Kitos varžybos, deklaruotos reitingui",IFERROR($F107/MAX($G107,SUMIFS(Parametrai!$F$2:$F$21,Parametrai!$A$2:$A$21,$A107))*IF($H107="",1,$H107),0),IF($D107="Susikertančios su Lietuvos čempionatu",0.95*SUMIFS($J$2:$J$500,$B$2:$B$500,$B107,$A$2:$A$500,$A107-1),IF($D107="Papildomi (R+)",IFERROR(MAX(0,($F107-900)/1000),0),0))))</f>
        <v>0.51430934656741112</v>
      </c>
    </row>
    <row r="108" spans="1:10" ht="15" customHeight="1" x14ac:dyDescent="0.3">
      <c r="A108" s="22">
        <v>2021</v>
      </c>
      <c r="B108" s="22" t="s">
        <v>83</v>
      </c>
      <c r="C108" s="22" t="s">
        <v>56</v>
      </c>
      <c r="D108" s="22" t="s">
        <v>50</v>
      </c>
      <c r="E108" s="22">
        <v>5271</v>
      </c>
      <c r="F108" s="22"/>
      <c r="G108" s="22"/>
      <c r="H108" s="22">
        <v>1</v>
      </c>
      <c r="I108" s="22" t="s">
        <v>51</v>
      </c>
      <c r="J108" s="23">
        <f>IF($D108="LSF čempionatas",IFERROR($E108/SUMIFS(Parametrai!$B$2:$B$21,Parametrai!$A$2:$A$21,$A108)*SUMIFS(Parametrai!$E$2:$E$21,Parametrai!$A$2:$A$21,$A108),0),IF($D108="Kitos varžybos, deklaruotos reitingui",IFERROR($F108/MAX($G108,SUMIFS(Parametrai!$F$2:$F$21,Parametrai!$A$2:$A$21,$A108))*IF($H108="",1,$H108),0),IF($D108="Susikertančios su Lietuvos čempionatu",0.95*SUMIFS($J$2:$J$500,$B$2:$B$500,$B108,$A$2:$A$500,$A108-1),IF($D108="Papildomi (R+)",IFERROR(MAX(0,($F108-900)/1000),0),0))))</f>
        <v>0.87196029776674933</v>
      </c>
    </row>
    <row r="109" spans="1:10" ht="15" customHeight="1" x14ac:dyDescent="0.3">
      <c r="A109" s="22">
        <v>2021</v>
      </c>
      <c r="B109" s="22" t="s">
        <v>73</v>
      </c>
      <c r="C109" s="22" t="s">
        <v>53</v>
      </c>
      <c r="D109" s="22" t="s">
        <v>50</v>
      </c>
      <c r="E109" s="22">
        <v>5383</v>
      </c>
      <c r="F109" s="22"/>
      <c r="G109" s="22"/>
      <c r="H109" s="22">
        <v>1</v>
      </c>
      <c r="I109" s="22" t="s">
        <v>51</v>
      </c>
      <c r="J109" s="23">
        <f>IF($D109="LSF čempionatas",IFERROR($E109/SUMIFS(Parametrai!$B$2:$B$21,Parametrai!$A$2:$A$21,$A109)*SUMIFS(Parametrai!$E$2:$E$21,Parametrai!$A$2:$A$21,$A109),0),IF($D109="Kitos varžybos, deklaruotos reitingui",IFERROR($F109/MAX($G109,SUMIFS(Parametrai!$F$2:$F$21,Parametrai!$A$2:$A$21,$A109))*IF($H109="",1,$H109),0),IF($D109="Susikertančios su Lietuvos čempionatu",0.95*SUMIFS($J$2:$J$500,$B$2:$B$500,$B109,$A$2:$A$500,$A109-1),IF($D109="Papildomi (R+)",IFERROR(MAX(0,($F109-900)/1000),0),0))))</f>
        <v>0.89048800661703886</v>
      </c>
    </row>
    <row r="110" spans="1:10" ht="15" customHeight="1" x14ac:dyDescent="0.3">
      <c r="A110" s="22">
        <v>2021</v>
      </c>
      <c r="B110" s="22" t="s">
        <v>74</v>
      </c>
      <c r="C110" s="22" t="s">
        <v>53</v>
      </c>
      <c r="D110" s="22" t="s">
        <v>50</v>
      </c>
      <c r="E110" s="22">
        <v>1674</v>
      </c>
      <c r="F110" s="22"/>
      <c r="G110" s="22"/>
      <c r="H110" s="22">
        <v>1</v>
      </c>
      <c r="I110" s="22" t="s">
        <v>51</v>
      </c>
      <c r="J110" s="23">
        <f>IF($D110="LSF čempionatas",IFERROR($E110/SUMIFS(Parametrai!$B$2:$B$21,Parametrai!$A$2:$A$21,$A110)*SUMIFS(Parametrai!$E$2:$E$21,Parametrai!$A$2:$A$21,$A110),0),IF($D110="Kitos varžybos, deklaruotos reitingui",IFERROR($F110/MAX($G110,SUMIFS(Parametrai!$F$2:$F$21,Parametrai!$A$2:$A$21,$A110))*IF($H110="",1,$H110),0),IF($D110="Susikertančios su Lietuvos čempionatu",0.95*SUMIFS($J$2:$J$500,$B$2:$B$500,$B110,$A$2:$A$500,$A110-1),IF($D110="Papildomi (R+)",IFERROR(MAX(0,($F110-900)/1000),0),0))))</f>
        <v>0.27692307692307694</v>
      </c>
    </row>
    <row r="111" spans="1:10" ht="15" customHeight="1" x14ac:dyDescent="0.3">
      <c r="A111" s="22">
        <v>2021</v>
      </c>
      <c r="B111" s="22" t="s">
        <v>75</v>
      </c>
      <c r="C111" s="22" t="s">
        <v>56</v>
      </c>
      <c r="D111" s="22" t="s">
        <v>50</v>
      </c>
      <c r="E111" s="22">
        <v>5569</v>
      </c>
      <c r="F111" s="22"/>
      <c r="G111" s="22"/>
      <c r="H111" s="22">
        <v>1</v>
      </c>
      <c r="I111" s="22" t="s">
        <v>51</v>
      </c>
      <c r="J111" s="23">
        <f>IF($D111="LSF čempionatas",IFERROR($E111/SUMIFS(Parametrai!$B$2:$B$21,Parametrai!$A$2:$A$21,$A111)*SUMIFS(Parametrai!$E$2:$E$21,Parametrai!$A$2:$A$21,$A111),0),IF($D111="Kitos varžybos, deklaruotos reitingui",IFERROR($F111/MAX($G111,SUMIFS(Parametrai!$F$2:$F$21,Parametrai!$A$2:$A$21,$A111))*IF($H111="",1,$H111),0),IF($D111="Susikertančios su Lietuvos čempionatu",0.95*SUMIFS($J$2:$J$500,$B$2:$B$500,$B111,$A$2:$A$500,$A111-1),IF($D111="Papildomi (R+)",IFERROR(MAX(0,($F111-900)/1000),0),0))))</f>
        <v>0.92125723738626963</v>
      </c>
    </row>
    <row r="112" spans="1:10" ht="15" customHeight="1" x14ac:dyDescent="0.3">
      <c r="A112" s="22">
        <v>2021</v>
      </c>
      <c r="B112" s="22" t="s">
        <v>84</v>
      </c>
      <c r="C112" s="22" t="s">
        <v>69</v>
      </c>
      <c r="D112" s="22" t="s">
        <v>50</v>
      </c>
      <c r="E112" s="22">
        <v>4000</v>
      </c>
      <c r="F112" s="22"/>
      <c r="G112" s="22"/>
      <c r="H112" s="22">
        <v>1</v>
      </c>
      <c r="I112" s="22" t="s">
        <v>51</v>
      </c>
      <c r="J112" s="23">
        <f>IF($D112="LSF čempionatas",IFERROR($E112/SUMIFS(Parametrai!$B$2:$B$21,Parametrai!$A$2:$A$21,$A112)*SUMIFS(Parametrai!$E$2:$E$21,Parametrai!$A$2:$A$21,$A112),0),IF($D112="Kitos varžybos, deklaruotos reitingui",IFERROR($F112/MAX($G112,SUMIFS(Parametrai!$F$2:$F$21,Parametrai!$A$2:$A$21,$A112))*IF($H112="",1,$H112),0),IF($D112="Susikertančios su Lietuvos čempionatu",0.95*SUMIFS($J$2:$J$500,$B$2:$B$500,$B112,$A$2:$A$500,$A112-1),IF($D112="Papildomi (R+)",IFERROR(MAX(0,($F112-900)/1000),0),0))))</f>
        <v>0.66170388751033915</v>
      </c>
    </row>
    <row r="113" spans="1:10" ht="15" customHeight="1" x14ac:dyDescent="0.3">
      <c r="A113" s="22">
        <v>2022</v>
      </c>
      <c r="B113" s="22" t="s">
        <v>48</v>
      </c>
      <c r="C113" s="22" t="s">
        <v>49</v>
      </c>
      <c r="D113" s="22" t="s">
        <v>50</v>
      </c>
      <c r="E113" s="22">
        <v>529</v>
      </c>
      <c r="F113" s="22"/>
      <c r="G113" s="22"/>
      <c r="H113" s="22">
        <v>1</v>
      </c>
      <c r="I113" s="22" t="s">
        <v>51</v>
      </c>
      <c r="J113" s="23">
        <f>IF($D113="LSF čempionatas",IFERROR($E113/SUMIFS(Parametrai!$B$2:$B$21,Parametrai!$A$2:$A$21,$A113)*SUMIFS(Parametrai!$E$2:$E$21,Parametrai!$A$2:$A$21,$A113),0),IF($D113="Kitos varžybos, deklaruotos reitingui",IFERROR($F113/MAX($G113,SUMIFS(Parametrai!$F$2:$F$21,Parametrai!$A$2:$A$21,$A113))*IF($H113="",1,$H113),0),IF($D113="Susikertančios su Lietuvos čempionatu",0.95*SUMIFS($J$2:$J$500,$B$2:$B$500,$B113,$A$2:$A$500,$A113-1),IF($D113="Papildomi (R+)",IFERROR(MAX(0,($F113-900)/1000),0),0))))</f>
        <v>0.1793828416412343</v>
      </c>
    </row>
    <row r="114" spans="1:10" ht="15" customHeight="1" x14ac:dyDescent="0.3">
      <c r="A114" s="22">
        <v>2022</v>
      </c>
      <c r="B114" s="22" t="s">
        <v>54</v>
      </c>
      <c r="C114" s="22" t="s">
        <v>49</v>
      </c>
      <c r="D114" s="22" t="s">
        <v>50</v>
      </c>
      <c r="E114" s="22">
        <v>2032</v>
      </c>
      <c r="F114" s="22"/>
      <c r="G114" s="22"/>
      <c r="H114" s="22">
        <v>1</v>
      </c>
      <c r="I114" s="22" t="s">
        <v>51</v>
      </c>
      <c r="J114" s="23">
        <f>IF($D114="LSF čempionatas",IFERROR($E114/SUMIFS(Parametrai!$B$2:$B$21,Parametrai!$A$2:$A$21,$A114)*SUMIFS(Parametrai!$E$2:$E$21,Parametrai!$A$2:$A$21,$A114),0),IF($D114="Kitos varžybos, deklaruotos reitingui",IFERROR($F114/MAX($G114,SUMIFS(Parametrai!$F$2:$F$21,Parametrai!$A$2:$A$21,$A114))*IF($H114="",1,$H114),0),IF($D114="Susikertančios su Lietuvos čempionatu",0.95*SUMIFS($J$2:$J$500,$B$2:$B$500,$B114,$A$2:$A$500,$A114-1),IF($D114="Papildomi (R+)",IFERROR(MAX(0,($F114-900)/1000),0),0))))</f>
        <v>0.6890471346219057</v>
      </c>
    </row>
    <row r="115" spans="1:10" ht="15" customHeight="1" x14ac:dyDescent="0.3">
      <c r="A115" s="22">
        <v>2022</v>
      </c>
      <c r="B115" s="22" t="s">
        <v>55</v>
      </c>
      <c r="C115" s="22" t="s">
        <v>56</v>
      </c>
      <c r="D115" s="22" t="s">
        <v>50</v>
      </c>
      <c r="E115" s="22">
        <v>1163</v>
      </c>
      <c r="F115" s="22"/>
      <c r="G115" s="22"/>
      <c r="H115" s="22">
        <v>1</v>
      </c>
      <c r="I115" s="22" t="s">
        <v>51</v>
      </c>
      <c r="J115" s="23">
        <f>IF($D115="LSF čempionatas",IFERROR($E115/SUMIFS(Parametrai!$B$2:$B$21,Parametrai!$A$2:$A$21,$A115)*SUMIFS(Parametrai!$E$2:$E$21,Parametrai!$A$2:$A$21,$A115),0),IF($D115="Kitos varžybos, deklaruotos reitingui",IFERROR($F115/MAX($G115,SUMIFS(Parametrai!$F$2:$F$21,Parametrai!$A$2:$A$21,$A115))*IF($H115="",1,$H115),0),IF($D115="Susikertančios su Lietuvos čempionatu",0.95*SUMIFS($J$2:$J$500,$B$2:$B$500,$B115,$A$2:$A$500,$A115-1),IF($D115="Papildomi (R+)",IFERROR(MAX(0,($F115-900)/1000),0),0))))</f>
        <v>0.39437097321125808</v>
      </c>
    </row>
    <row r="116" spans="1:10" ht="15" customHeight="1" x14ac:dyDescent="0.3">
      <c r="A116" s="22">
        <v>2022</v>
      </c>
      <c r="B116" s="22" t="s">
        <v>91</v>
      </c>
      <c r="C116" s="22" t="s">
        <v>92</v>
      </c>
      <c r="D116" s="22" t="s">
        <v>50</v>
      </c>
      <c r="E116" s="22">
        <v>1317</v>
      </c>
      <c r="F116" s="22"/>
      <c r="G116" s="22"/>
      <c r="H116" s="22">
        <v>1</v>
      </c>
      <c r="I116" s="22" t="s">
        <v>51</v>
      </c>
      <c r="J116" s="23">
        <f>IF($D116="LSF čempionatas",IFERROR($E116/SUMIFS(Parametrai!$B$2:$B$21,Parametrai!$A$2:$A$21,$A116)*SUMIFS(Parametrai!$E$2:$E$21,Parametrai!$A$2:$A$21,$A116),0),IF($D116="Kitos varžybos, deklaruotos reitingui",IFERROR($F116/MAX($G116,SUMIFS(Parametrai!$F$2:$F$21,Parametrai!$A$2:$A$21,$A116))*IF($H116="",1,$H116),0),IF($D116="Susikertančios su Lietuvos čempionatu",0.95*SUMIFS($J$2:$J$500,$B$2:$B$500,$B116,$A$2:$A$500,$A116-1),IF($D116="Papildomi (R+)",IFERROR(MAX(0,($F116-900)/1000),0),0))))</f>
        <v>0.44659206510681587</v>
      </c>
    </row>
    <row r="117" spans="1:10" ht="15" customHeight="1" x14ac:dyDescent="0.3">
      <c r="A117" s="22">
        <v>2022</v>
      </c>
      <c r="B117" s="22" t="s">
        <v>81</v>
      </c>
      <c r="C117" s="22" t="s">
        <v>49</v>
      </c>
      <c r="D117" s="22" t="s">
        <v>50</v>
      </c>
      <c r="E117" s="22">
        <v>806</v>
      </c>
      <c r="F117" s="22"/>
      <c r="G117" s="22"/>
      <c r="H117" s="22">
        <v>1</v>
      </c>
      <c r="I117" s="22" t="s">
        <v>51</v>
      </c>
      <c r="J117" s="23">
        <f>IF($D117="LSF čempionatas",IFERROR($E117/SUMIFS(Parametrai!$B$2:$B$21,Parametrai!$A$2:$A$21,$A117)*SUMIFS(Parametrai!$E$2:$E$21,Parametrai!$A$2:$A$21,$A117),0),IF($D117="Kitos varžybos, deklaruotos reitingui",IFERROR($F117/MAX($G117,SUMIFS(Parametrai!$F$2:$F$21,Parametrai!$A$2:$A$21,$A117))*IF($H117="",1,$H117),0),IF($D117="Susikertančios su Lietuvos čempionatu",0.95*SUMIFS($J$2:$J$500,$B$2:$B$500,$B117,$A$2:$A$500,$A117-1),IF($D117="Papildomi (R+)",IFERROR(MAX(0,($F117-900)/1000),0),0))))</f>
        <v>0.27331298745337401</v>
      </c>
    </row>
    <row r="118" spans="1:10" ht="15" customHeight="1" x14ac:dyDescent="0.3">
      <c r="A118" s="22">
        <v>2022</v>
      </c>
      <c r="B118" s="22" t="s">
        <v>57</v>
      </c>
      <c r="C118" s="22" t="s">
        <v>53</v>
      </c>
      <c r="D118" s="22" t="s">
        <v>50</v>
      </c>
      <c r="E118" s="22">
        <v>2869</v>
      </c>
      <c r="F118" s="22"/>
      <c r="G118" s="22"/>
      <c r="H118" s="22">
        <v>1</v>
      </c>
      <c r="I118" s="22" t="s">
        <v>51</v>
      </c>
      <c r="J118" s="23">
        <f>IF($D118="LSF čempionatas",IFERROR($E118/SUMIFS(Parametrai!$B$2:$B$21,Parametrai!$A$2:$A$21,$A118)*SUMIFS(Parametrai!$E$2:$E$21,Parametrai!$A$2:$A$21,$A118),0),IF($D118="Kitos varžybos, deklaruotos reitingui",IFERROR($F118/MAX($G118,SUMIFS(Parametrai!$F$2:$F$21,Parametrai!$A$2:$A$21,$A118))*IF($H118="",1,$H118),0),IF($D118="Susikertančios su Lietuvos čempionatu",0.95*SUMIFS($J$2:$J$500,$B$2:$B$500,$B118,$A$2:$A$500,$A118-1),IF($D118="Papildomi (R+)",IFERROR(MAX(0,($F118-900)/1000),0),0))))</f>
        <v>0.9728721600542557</v>
      </c>
    </row>
    <row r="119" spans="1:10" ht="15" customHeight="1" x14ac:dyDescent="0.3">
      <c r="A119" s="22">
        <v>2022</v>
      </c>
      <c r="B119" s="22" t="s">
        <v>58</v>
      </c>
      <c r="C119" s="22" t="s">
        <v>59</v>
      </c>
      <c r="D119" s="22" t="s">
        <v>50</v>
      </c>
      <c r="E119" s="22">
        <v>2527</v>
      </c>
      <c r="F119" s="22"/>
      <c r="G119" s="22"/>
      <c r="H119" s="22">
        <v>1</v>
      </c>
      <c r="I119" s="22" t="s">
        <v>51</v>
      </c>
      <c r="J119" s="23">
        <f>IF($D119="LSF čempionatas",IFERROR($E119/SUMIFS(Parametrai!$B$2:$B$21,Parametrai!$A$2:$A$21,$A119)*SUMIFS(Parametrai!$E$2:$E$21,Parametrai!$A$2:$A$21,$A119),0),IF($D119="Kitos varžybos, deklaruotos reitingui",IFERROR($F119/MAX($G119,SUMIFS(Parametrai!$F$2:$F$21,Parametrai!$A$2:$A$21,$A119))*IF($H119="",1,$H119),0),IF($D119="Susikertančios su Lietuvos čempionatu",0.95*SUMIFS($J$2:$J$500,$B$2:$B$500,$B119,$A$2:$A$500,$A119-1),IF($D119="Papildomi (R+)",IFERROR(MAX(0,($F119-900)/1000),0),0))))</f>
        <v>0.85690064428619872</v>
      </c>
    </row>
    <row r="120" spans="1:10" ht="15" customHeight="1" x14ac:dyDescent="0.3">
      <c r="A120" s="22">
        <v>2022</v>
      </c>
      <c r="B120" s="22" t="s">
        <v>60</v>
      </c>
      <c r="C120" s="22" t="s">
        <v>61</v>
      </c>
      <c r="D120" s="22" t="s">
        <v>50</v>
      </c>
      <c r="E120" s="22">
        <v>2418</v>
      </c>
      <c r="F120" s="22"/>
      <c r="G120" s="22"/>
      <c r="H120" s="22">
        <v>1</v>
      </c>
      <c r="I120" s="22" t="s">
        <v>51</v>
      </c>
      <c r="J120" s="23">
        <f>IF($D120="LSF čempionatas",IFERROR($E120/SUMIFS(Parametrai!$B$2:$B$21,Parametrai!$A$2:$A$21,$A120)*SUMIFS(Parametrai!$E$2:$E$21,Parametrai!$A$2:$A$21,$A120),0),IF($D120="Kitos varžybos, deklaruotos reitingui",IFERROR($F120/MAX($G120,SUMIFS(Parametrai!$F$2:$F$21,Parametrai!$A$2:$A$21,$A120))*IF($H120="",1,$H120),0),IF($D120="Susikertančios su Lietuvos čempionatu",0.95*SUMIFS($J$2:$J$500,$B$2:$B$500,$B120,$A$2:$A$500,$A120-1),IF($D120="Papildomi (R+)",IFERROR(MAX(0,($F120-900)/1000),0),0))))</f>
        <v>0.81993896236012209</v>
      </c>
    </row>
    <row r="121" spans="1:10" ht="15" customHeight="1" x14ac:dyDescent="0.3">
      <c r="A121" s="22">
        <v>2022</v>
      </c>
      <c r="B121" s="22" t="s">
        <v>62</v>
      </c>
      <c r="C121" s="22" t="s">
        <v>56</v>
      </c>
      <c r="D121" s="22" t="s">
        <v>50</v>
      </c>
      <c r="E121" s="22">
        <v>2174</v>
      </c>
      <c r="F121" s="22"/>
      <c r="G121" s="22"/>
      <c r="H121" s="22">
        <v>1</v>
      </c>
      <c r="I121" s="22" t="s">
        <v>51</v>
      </c>
      <c r="J121" s="23">
        <f>IF($D121="LSF čempionatas",IFERROR($E121/SUMIFS(Parametrai!$B$2:$B$21,Parametrai!$A$2:$A$21,$A121)*SUMIFS(Parametrai!$E$2:$E$21,Parametrai!$A$2:$A$21,$A121),0),IF($D121="Kitos varžybos, deklaruotos reitingui",IFERROR($F121/MAX($G121,SUMIFS(Parametrai!$F$2:$F$21,Parametrai!$A$2:$A$21,$A121))*IF($H121="",1,$H121),0),IF($D121="Susikertančios su Lietuvos čempionatu",0.95*SUMIFS($J$2:$J$500,$B$2:$B$500,$B121,$A$2:$A$500,$A121-1),IF($D121="Papildomi (R+)",IFERROR(MAX(0,($F121-900)/1000),0),0))))</f>
        <v>0.73719905052560186</v>
      </c>
    </row>
    <row r="122" spans="1:10" ht="15" customHeight="1" x14ac:dyDescent="0.3">
      <c r="A122" s="22">
        <v>2022</v>
      </c>
      <c r="B122" s="22" t="s">
        <v>94</v>
      </c>
      <c r="C122" s="22" t="s">
        <v>53</v>
      </c>
      <c r="D122" s="22" t="s">
        <v>50</v>
      </c>
      <c r="E122" s="22">
        <v>712</v>
      </c>
      <c r="F122" s="22"/>
      <c r="G122" s="22"/>
      <c r="H122" s="22">
        <v>1</v>
      </c>
      <c r="I122" s="22" t="s">
        <v>51</v>
      </c>
      <c r="J122" s="23">
        <f>IF($D122="LSF čempionatas",IFERROR($E122/SUMIFS(Parametrai!$B$2:$B$21,Parametrai!$A$2:$A$21,$A122)*SUMIFS(Parametrai!$E$2:$E$21,Parametrai!$A$2:$A$21,$A122),0),IF($D122="Kitos varžybos, deklaruotos reitingui",IFERROR($F122/MAX($G122,SUMIFS(Parametrai!$F$2:$F$21,Parametrai!$A$2:$A$21,$A122))*IF($H122="",1,$H122),0),IF($D122="Susikertančios su Lietuvos čempionatu",0.95*SUMIFS($J$2:$J$500,$B$2:$B$500,$B122,$A$2:$A$500,$A122-1),IF($D122="Papildomi (R+)",IFERROR(MAX(0,($F122-900)/1000),0),0))))</f>
        <v>0.24143777551712445</v>
      </c>
    </row>
    <row r="123" spans="1:10" ht="15" customHeight="1" x14ac:dyDescent="0.3">
      <c r="A123" s="22">
        <v>2022</v>
      </c>
      <c r="B123" s="22" t="s">
        <v>64</v>
      </c>
      <c r="C123" s="22" t="s">
        <v>49</v>
      </c>
      <c r="D123" s="22" t="s">
        <v>50</v>
      </c>
      <c r="E123" s="22">
        <v>2949</v>
      </c>
      <c r="F123" s="22"/>
      <c r="G123" s="22"/>
      <c r="H123" s="22">
        <v>1</v>
      </c>
      <c r="I123" s="22" t="s">
        <v>51</v>
      </c>
      <c r="J123" s="23">
        <f>IF($D123="LSF čempionatas",IFERROR($E123/SUMIFS(Parametrai!$B$2:$B$21,Parametrai!$A$2:$A$21,$A123)*SUMIFS(Parametrai!$E$2:$E$21,Parametrai!$A$2:$A$21,$A123),0),IF($D123="Kitos varžybos, deklaruotos reitingui",IFERROR($F123/MAX($G123,SUMIFS(Parametrai!$F$2:$F$21,Parametrai!$A$2:$A$21,$A123))*IF($H123="",1,$H123),0),IF($D123="Susikertančios su Lietuvos čempionatu",0.95*SUMIFS($J$2:$J$500,$B$2:$B$500,$B123,$A$2:$A$500,$A123-1),IF($D123="Papildomi (R+)",IFERROR(MAX(0,($F123-900)/1000),0),0))))</f>
        <v>1</v>
      </c>
    </row>
    <row r="124" spans="1:10" ht="15" customHeight="1" x14ac:dyDescent="0.3">
      <c r="A124" s="22">
        <v>2022</v>
      </c>
      <c r="B124" s="22" t="s">
        <v>78</v>
      </c>
      <c r="C124" s="22" t="s">
        <v>53</v>
      </c>
      <c r="D124" s="22" t="s">
        <v>50</v>
      </c>
      <c r="E124" s="22">
        <v>2432</v>
      </c>
      <c r="F124" s="22"/>
      <c r="G124" s="22"/>
      <c r="H124" s="22">
        <v>1</v>
      </c>
      <c r="I124" s="22" t="s">
        <v>51</v>
      </c>
      <c r="J124" s="23">
        <f>IF($D124="LSF čempionatas",IFERROR($E124/SUMIFS(Parametrai!$B$2:$B$21,Parametrai!$A$2:$A$21,$A124)*SUMIFS(Parametrai!$E$2:$E$21,Parametrai!$A$2:$A$21,$A124),0),IF($D124="Kitos varžybos, deklaruotos reitingui",IFERROR($F124/MAX($G124,SUMIFS(Parametrai!$F$2:$F$21,Parametrai!$A$2:$A$21,$A124))*IF($H124="",1,$H124),0),IF($D124="Susikertančios su Lietuvos čempionatu",0.95*SUMIFS($J$2:$J$500,$B$2:$B$500,$B124,$A$2:$A$500,$A124-1),IF($D124="Papildomi (R+)",IFERROR(MAX(0,($F124-900)/1000),0),0))))</f>
        <v>0.82468633435062733</v>
      </c>
    </row>
    <row r="125" spans="1:10" ht="15" customHeight="1" x14ac:dyDescent="0.3">
      <c r="A125" s="22">
        <v>2022</v>
      </c>
      <c r="B125" s="22" t="s">
        <v>86</v>
      </c>
      <c r="C125" s="22" t="s">
        <v>49</v>
      </c>
      <c r="D125" s="22" t="s">
        <v>50</v>
      </c>
      <c r="E125" s="22">
        <v>2628</v>
      </c>
      <c r="F125" s="22"/>
      <c r="G125" s="22"/>
      <c r="H125" s="22">
        <v>1</v>
      </c>
      <c r="I125" s="22" t="s">
        <v>51</v>
      </c>
      <c r="J125" s="23">
        <f>IF($D125="LSF čempionatas",IFERROR($E125/SUMIFS(Parametrai!$B$2:$B$21,Parametrai!$A$2:$A$21,$A125)*SUMIFS(Parametrai!$E$2:$E$21,Parametrai!$A$2:$A$21,$A125),0),IF($D125="Kitos varžybos, deklaruotos reitingui",IFERROR($F125/MAX($G125,SUMIFS(Parametrai!$F$2:$F$21,Parametrai!$A$2:$A$21,$A125))*IF($H125="",1,$H125),0),IF($D125="Susikertančios su Lietuvos čempionatu",0.95*SUMIFS($J$2:$J$500,$B$2:$B$500,$B125,$A$2:$A$500,$A125-1),IF($D125="Papildomi (R+)",IFERROR(MAX(0,($F125-900)/1000),0),0))))</f>
        <v>0.89114954221770093</v>
      </c>
    </row>
    <row r="126" spans="1:10" ht="15" customHeight="1" x14ac:dyDescent="0.3">
      <c r="A126" s="22">
        <v>2022</v>
      </c>
      <c r="B126" s="22" t="s">
        <v>67</v>
      </c>
      <c r="C126" s="22" t="s">
        <v>53</v>
      </c>
      <c r="D126" s="22" t="s">
        <v>50</v>
      </c>
      <c r="E126" s="22">
        <v>2598</v>
      </c>
      <c r="F126" s="22"/>
      <c r="G126" s="22"/>
      <c r="H126" s="22">
        <v>1</v>
      </c>
      <c r="I126" s="22" t="s">
        <v>51</v>
      </c>
      <c r="J126" s="23">
        <f>IF($D126="LSF čempionatas",IFERROR($E126/SUMIFS(Parametrai!$B$2:$B$21,Parametrai!$A$2:$A$21,$A126)*SUMIFS(Parametrai!$E$2:$E$21,Parametrai!$A$2:$A$21,$A126),0),IF($D126="Kitos varžybos, deklaruotos reitingui",IFERROR($F126/MAX($G126,SUMIFS(Parametrai!$F$2:$F$21,Parametrai!$A$2:$A$21,$A126))*IF($H126="",1,$H126),0),IF($D126="Susikertančios su Lietuvos čempionatu",0.95*SUMIFS($J$2:$J$500,$B$2:$B$500,$B126,$A$2:$A$500,$A126-1),IF($D126="Papildomi (R+)",IFERROR(MAX(0,($F126-900)/1000),0),0))))</f>
        <v>0.88097660223804675</v>
      </c>
    </row>
    <row r="127" spans="1:10" ht="15" customHeight="1" x14ac:dyDescent="0.3">
      <c r="A127" s="22">
        <v>2022</v>
      </c>
      <c r="B127" s="22" t="s">
        <v>68</v>
      </c>
      <c r="C127" s="22" t="s">
        <v>69</v>
      </c>
      <c r="D127" s="22" t="s">
        <v>50</v>
      </c>
      <c r="E127" s="22">
        <v>1829</v>
      </c>
      <c r="F127" s="22"/>
      <c r="G127" s="22"/>
      <c r="H127" s="22">
        <v>1</v>
      </c>
      <c r="I127" s="22" t="s">
        <v>51</v>
      </c>
      <c r="J127" s="23">
        <f>IF($D127="LSF čempionatas",IFERROR($E127/SUMIFS(Parametrai!$B$2:$B$21,Parametrai!$A$2:$A$21,$A127)*SUMIFS(Parametrai!$E$2:$E$21,Parametrai!$A$2:$A$21,$A127),0),IF($D127="Kitos varžybos, deklaruotos reitingui",IFERROR($F127/MAX($G127,SUMIFS(Parametrai!$F$2:$F$21,Parametrai!$A$2:$A$21,$A127))*IF($H127="",1,$H127),0),IF($D127="Susikertančios su Lietuvos čempionatu",0.95*SUMIFS($J$2:$J$500,$B$2:$B$500,$B127,$A$2:$A$500,$A127-1),IF($D127="Papildomi (R+)",IFERROR(MAX(0,($F127-900)/1000),0),0))))</f>
        <v>0.62021024075957953</v>
      </c>
    </row>
    <row r="128" spans="1:10" ht="15" customHeight="1" x14ac:dyDescent="0.3">
      <c r="A128" s="22">
        <v>2022</v>
      </c>
      <c r="B128" s="22" t="s">
        <v>80</v>
      </c>
      <c r="C128" s="22" t="s">
        <v>53</v>
      </c>
      <c r="D128" s="22" t="s">
        <v>50</v>
      </c>
      <c r="E128" s="22">
        <v>2554</v>
      </c>
      <c r="F128" s="22"/>
      <c r="G128" s="22"/>
      <c r="H128" s="22">
        <v>1</v>
      </c>
      <c r="I128" s="22" t="s">
        <v>51</v>
      </c>
      <c r="J128" s="23">
        <f>IF($D128="LSF čempionatas",IFERROR($E128/SUMIFS(Parametrai!$B$2:$B$21,Parametrai!$A$2:$A$21,$A128)*SUMIFS(Parametrai!$E$2:$E$21,Parametrai!$A$2:$A$21,$A128),0),IF($D128="Kitos varžybos, deklaruotos reitingui",IFERROR($F128/MAX($G128,SUMIFS(Parametrai!$F$2:$F$21,Parametrai!$A$2:$A$21,$A128))*IF($H128="",1,$H128),0),IF($D128="Susikertančios su Lietuvos čempionatu",0.95*SUMIFS($J$2:$J$500,$B$2:$B$500,$B128,$A$2:$A$500,$A128-1),IF($D128="Papildomi (R+)",IFERROR(MAX(0,($F128-900)/1000),0),0))))</f>
        <v>0.86605629026788744</v>
      </c>
    </row>
    <row r="129" spans="1:10" ht="15" customHeight="1" x14ac:dyDescent="0.3">
      <c r="A129" s="22">
        <v>2022</v>
      </c>
      <c r="B129" s="22" t="s">
        <v>83</v>
      </c>
      <c r="C129" s="22" t="s">
        <v>56</v>
      </c>
      <c r="D129" s="22" t="s">
        <v>50</v>
      </c>
      <c r="E129" s="22">
        <v>2513</v>
      </c>
      <c r="F129" s="22"/>
      <c r="G129" s="22"/>
      <c r="H129" s="22">
        <v>1</v>
      </c>
      <c r="I129" s="22" t="s">
        <v>51</v>
      </c>
      <c r="J129" s="23">
        <f>IF($D129="LSF čempionatas",IFERROR($E129/SUMIFS(Parametrai!$B$2:$B$21,Parametrai!$A$2:$A$21,$A129)*SUMIFS(Parametrai!$E$2:$E$21,Parametrai!$A$2:$A$21,$A129),0),IF($D129="Kitos varžybos, deklaruotos reitingui",IFERROR($F129/MAX($G129,SUMIFS(Parametrai!$F$2:$F$21,Parametrai!$A$2:$A$21,$A129))*IF($H129="",1,$H129),0),IF($D129="Susikertančios su Lietuvos čempionatu",0.95*SUMIFS($J$2:$J$500,$B$2:$B$500,$B129,$A$2:$A$500,$A129-1),IF($D129="Papildomi (R+)",IFERROR(MAX(0,($F129-900)/1000),0),0))))</f>
        <v>0.85215327229569349</v>
      </c>
    </row>
    <row r="130" spans="1:10" ht="15" customHeight="1" x14ac:dyDescent="0.3">
      <c r="A130" s="22">
        <v>2022</v>
      </c>
      <c r="B130" s="22" t="s">
        <v>72</v>
      </c>
      <c r="C130" s="22" t="s">
        <v>53</v>
      </c>
      <c r="D130" s="22" t="s">
        <v>50</v>
      </c>
      <c r="E130" s="22">
        <v>1258</v>
      </c>
      <c r="F130" s="22"/>
      <c r="G130" s="22"/>
      <c r="H130" s="22">
        <v>1</v>
      </c>
      <c r="I130" s="22" t="s">
        <v>51</v>
      </c>
      <c r="J130" s="23">
        <f>IF($D130="LSF čempionatas",IFERROR($E130/SUMIFS(Parametrai!$B$2:$B$21,Parametrai!$A$2:$A$21,$A130)*SUMIFS(Parametrai!$E$2:$E$21,Parametrai!$A$2:$A$21,$A130),0),IF($D130="Kitos varžybos, deklaruotos reitingui",IFERROR($F130/MAX($G130,SUMIFS(Parametrai!$F$2:$F$21,Parametrai!$A$2:$A$21,$A130))*IF($H130="",1,$H130),0),IF($D130="Susikertančios su Lietuvos čempionatu",0.95*SUMIFS($J$2:$J$500,$B$2:$B$500,$B130,$A$2:$A$500,$A130-1),IF($D130="Papildomi (R+)",IFERROR(MAX(0,($F130-900)/1000),0),0))))</f>
        <v>0.42658528314682942</v>
      </c>
    </row>
    <row r="131" spans="1:10" ht="15" customHeight="1" x14ac:dyDescent="0.3">
      <c r="A131" s="22">
        <v>2022</v>
      </c>
      <c r="B131" s="22" t="s">
        <v>73</v>
      </c>
      <c r="C131" s="22" t="s">
        <v>53</v>
      </c>
      <c r="D131" s="22" t="s">
        <v>50</v>
      </c>
      <c r="E131" s="22">
        <v>2355</v>
      </c>
      <c r="F131" s="22"/>
      <c r="G131" s="22"/>
      <c r="H131" s="22">
        <v>1</v>
      </c>
      <c r="I131" s="22" t="s">
        <v>51</v>
      </c>
      <c r="J131" s="23">
        <f>IF($D131="LSF čempionatas",IFERROR($E131/SUMIFS(Parametrai!$B$2:$B$21,Parametrai!$A$2:$A$21,$A131)*SUMIFS(Parametrai!$E$2:$E$21,Parametrai!$A$2:$A$21,$A131),0),IF($D131="Kitos varžybos, deklaruotos reitingui",IFERROR($F131/MAX($G131,SUMIFS(Parametrai!$F$2:$F$21,Parametrai!$A$2:$A$21,$A131))*IF($H131="",1,$H131),0),IF($D131="Susikertančios su Lietuvos čempionatu",0.95*SUMIFS($J$2:$J$500,$B$2:$B$500,$B131,$A$2:$A$500,$A131-1),IF($D131="Papildomi (R+)",IFERROR(MAX(0,($F131-900)/1000),0),0))))</f>
        <v>0.79857578840284837</v>
      </c>
    </row>
    <row r="132" spans="1:10" ht="15" customHeight="1" x14ac:dyDescent="0.3">
      <c r="A132" s="22">
        <v>2022</v>
      </c>
      <c r="B132" s="22" t="s">
        <v>74</v>
      </c>
      <c r="C132" s="22" t="s">
        <v>53</v>
      </c>
      <c r="D132" s="22" t="s">
        <v>50</v>
      </c>
      <c r="E132" s="22">
        <v>1475</v>
      </c>
      <c r="F132" s="22"/>
      <c r="G132" s="22"/>
      <c r="H132" s="22">
        <v>1</v>
      </c>
      <c r="I132" s="22" t="s">
        <v>51</v>
      </c>
      <c r="J132" s="23">
        <f>IF($D132="LSF čempionatas",IFERROR($E132/SUMIFS(Parametrai!$B$2:$B$21,Parametrai!$A$2:$A$21,$A132)*SUMIFS(Parametrai!$E$2:$E$21,Parametrai!$A$2:$A$21,$A132),0),IF($D132="Kitos varžybos, deklaruotos reitingui",IFERROR($F132/MAX($G132,SUMIFS(Parametrai!$F$2:$F$21,Parametrai!$A$2:$A$21,$A132))*IF($H132="",1,$H132),0),IF($D132="Susikertančios su Lietuvos čempionatu",0.95*SUMIFS($J$2:$J$500,$B$2:$B$500,$B132,$A$2:$A$500,$A132-1),IF($D132="Papildomi (R+)",IFERROR(MAX(0,($F132-900)/1000),0),0))))</f>
        <v>0.50016954899966093</v>
      </c>
    </row>
    <row r="133" spans="1:10" ht="15" customHeight="1" x14ac:dyDescent="0.3">
      <c r="A133" s="22">
        <v>2022</v>
      </c>
      <c r="B133" s="22" t="s">
        <v>75</v>
      </c>
      <c r="C133" s="22" t="s">
        <v>56</v>
      </c>
      <c r="D133" s="22" t="s">
        <v>50</v>
      </c>
      <c r="E133" s="22">
        <v>2451</v>
      </c>
      <c r="F133" s="22"/>
      <c r="G133" s="22"/>
      <c r="H133" s="22">
        <v>1</v>
      </c>
      <c r="I133" s="22" t="s">
        <v>51</v>
      </c>
      <c r="J133" s="23">
        <f>IF($D133="LSF čempionatas",IFERROR($E133/SUMIFS(Parametrai!$B$2:$B$21,Parametrai!$A$2:$A$21,$A133)*SUMIFS(Parametrai!$E$2:$E$21,Parametrai!$A$2:$A$21,$A133),0),IF($D133="Kitos varžybos, deklaruotos reitingui",IFERROR($F133/MAX($G133,SUMIFS(Parametrai!$F$2:$F$21,Parametrai!$A$2:$A$21,$A133))*IF($H133="",1,$H133),0),IF($D133="Susikertančios su Lietuvos čempionatu",0.95*SUMIFS($J$2:$J$500,$B$2:$B$500,$B133,$A$2:$A$500,$A133-1),IF($D133="Papildomi (R+)",IFERROR(MAX(0,($F133-900)/1000),0),0))))</f>
        <v>0.83112919633774163</v>
      </c>
    </row>
    <row r="134" spans="1:10" ht="15" customHeight="1" x14ac:dyDescent="0.3">
      <c r="A134" s="22">
        <v>2022</v>
      </c>
      <c r="B134" s="22" t="s">
        <v>84</v>
      </c>
      <c r="C134" s="22" t="s">
        <v>69</v>
      </c>
      <c r="D134" s="22" t="s">
        <v>50</v>
      </c>
      <c r="E134" s="22">
        <v>1570</v>
      </c>
      <c r="F134" s="22"/>
      <c r="G134" s="22"/>
      <c r="H134" s="22">
        <v>1</v>
      </c>
      <c r="I134" s="22" t="s">
        <v>51</v>
      </c>
      <c r="J134" s="23">
        <f>IF($D134="LSF čempionatas",IFERROR($E134/SUMIFS(Parametrai!$B$2:$B$21,Parametrai!$A$2:$A$21,$A134)*SUMIFS(Parametrai!$E$2:$E$21,Parametrai!$A$2:$A$21,$A134),0),IF($D134="Kitos varžybos, deklaruotos reitingui",IFERROR($F134/MAX($G134,SUMIFS(Parametrai!$F$2:$F$21,Parametrai!$A$2:$A$21,$A134))*IF($H134="",1,$H134),0),IF($D134="Susikertančios su Lietuvos čempionatu",0.95*SUMIFS($J$2:$J$500,$B$2:$B$500,$B134,$A$2:$A$500,$A134-1),IF($D134="Papildomi (R+)",IFERROR(MAX(0,($F134-900)/1000),0),0))))</f>
        <v>0.53238385893523232</v>
      </c>
    </row>
    <row r="135" spans="1:10" ht="15" customHeight="1" x14ac:dyDescent="0.3">
      <c r="A135" s="22">
        <v>2023</v>
      </c>
      <c r="B135" s="22" t="s">
        <v>48</v>
      </c>
      <c r="C135" s="22" t="s">
        <v>49</v>
      </c>
      <c r="D135" s="22" t="s">
        <v>50</v>
      </c>
      <c r="E135" s="22">
        <v>7782</v>
      </c>
      <c r="F135" s="22"/>
      <c r="G135" s="22"/>
      <c r="H135" s="22">
        <v>1</v>
      </c>
      <c r="I135" s="22" t="s">
        <v>51</v>
      </c>
      <c r="J135" s="23">
        <f>IF($D135="LSF čempionatas",IFERROR($E135/SUMIFS(Parametrai!$B$2:$B$21,Parametrai!$A$2:$A$21,$A135)*SUMIFS(Parametrai!$E$2:$E$21,Parametrai!$A$2:$A$21,$A135),0),IF($D135="Kitos varžybos, deklaruotos reitingui",IFERROR($F135/MAX($G135,SUMIFS(Parametrai!$F$2:$F$21,Parametrai!$A$2:$A$21,$A135))*IF($H135="",1,$H135),0),IF($D135="Susikertančios su Lietuvos čempionatu",0.95*SUMIFS($J$2:$J$500,$B$2:$B$500,$B135,$A$2:$A$500,$A135-1),IF($D135="Papildomi (R+)",IFERROR(MAX(0,($F135-900)/1000),0),0))))</f>
        <v>0.93985507246376809</v>
      </c>
    </row>
    <row r="136" spans="1:10" ht="15" customHeight="1" x14ac:dyDescent="0.3">
      <c r="A136" s="22">
        <v>2023</v>
      </c>
      <c r="B136" s="22" t="s">
        <v>95</v>
      </c>
      <c r="C136" s="22" t="s">
        <v>96</v>
      </c>
      <c r="D136" s="22" t="s">
        <v>50</v>
      </c>
      <c r="E136" s="22">
        <v>4854</v>
      </c>
      <c r="F136" s="22"/>
      <c r="G136" s="22"/>
      <c r="H136" s="22">
        <v>1</v>
      </c>
      <c r="I136" s="22" t="s">
        <v>51</v>
      </c>
      <c r="J136" s="23">
        <f>IF($D136="LSF čempionatas",IFERROR($E136/SUMIFS(Parametrai!$B$2:$B$21,Parametrai!$A$2:$A$21,$A136)*SUMIFS(Parametrai!$E$2:$E$21,Parametrai!$A$2:$A$21,$A136),0),IF($D136="Kitos varžybos, deklaruotos reitingui",IFERROR($F136/MAX($G136,SUMIFS(Parametrai!$F$2:$F$21,Parametrai!$A$2:$A$21,$A136))*IF($H136="",1,$H136),0),IF($D136="Susikertančios su Lietuvos čempionatu",0.95*SUMIFS($J$2:$J$500,$B$2:$B$500,$B136,$A$2:$A$500,$A136-1),IF($D136="Papildomi (R+)",IFERROR(MAX(0,($F136-900)/1000),0),0))))</f>
        <v>0.586231884057971</v>
      </c>
    </row>
    <row r="137" spans="1:10" ht="15" customHeight="1" x14ac:dyDescent="0.3">
      <c r="A137" s="22">
        <v>2023</v>
      </c>
      <c r="B137" s="22" t="s">
        <v>97</v>
      </c>
      <c r="C137" s="22" t="s">
        <v>98</v>
      </c>
      <c r="D137" s="22" t="s">
        <v>50</v>
      </c>
      <c r="E137" s="22">
        <v>1088</v>
      </c>
      <c r="F137" s="22"/>
      <c r="G137" s="22"/>
      <c r="H137" s="22">
        <v>1</v>
      </c>
      <c r="I137" s="22" t="s">
        <v>51</v>
      </c>
      <c r="J137" s="23">
        <f>IF($D137="LSF čempionatas",IFERROR($E137/SUMIFS(Parametrai!$B$2:$B$21,Parametrai!$A$2:$A$21,$A137)*SUMIFS(Parametrai!$E$2:$E$21,Parametrai!$A$2:$A$21,$A137),0),IF($D137="Kitos varžybos, deklaruotos reitingui",IFERROR($F137/MAX($G137,SUMIFS(Parametrai!$F$2:$F$21,Parametrai!$A$2:$A$21,$A137))*IF($H137="",1,$H137),0),IF($D137="Susikertančios su Lietuvos čempionatu",0.95*SUMIFS($J$2:$J$500,$B$2:$B$500,$B137,$A$2:$A$500,$A137-1),IF($D137="Papildomi (R+)",IFERROR(MAX(0,($F137-900)/1000),0),0))))</f>
        <v>0.13140096618357489</v>
      </c>
    </row>
    <row r="138" spans="1:10" ht="15" customHeight="1" x14ac:dyDescent="0.3">
      <c r="A138" s="22">
        <v>2023</v>
      </c>
      <c r="B138" s="22" t="s">
        <v>76</v>
      </c>
      <c r="C138" s="22" t="s">
        <v>61</v>
      </c>
      <c r="D138" s="22" t="s">
        <v>50</v>
      </c>
      <c r="E138" s="22">
        <v>3725</v>
      </c>
      <c r="F138" s="22"/>
      <c r="G138" s="22"/>
      <c r="H138" s="22">
        <v>1</v>
      </c>
      <c r="I138" s="22" t="s">
        <v>51</v>
      </c>
      <c r="J138" s="23">
        <f>IF($D138="LSF čempionatas",IFERROR($E138/SUMIFS(Parametrai!$B$2:$B$21,Parametrai!$A$2:$A$21,$A138)*SUMIFS(Parametrai!$E$2:$E$21,Parametrai!$A$2:$A$21,$A138),0),IF($D138="Kitos varžybos, deklaruotos reitingui",IFERROR($F138/MAX($G138,SUMIFS(Parametrai!$F$2:$F$21,Parametrai!$A$2:$A$21,$A138))*IF($H138="",1,$H138),0),IF($D138="Susikertančios su Lietuvos čempionatu",0.95*SUMIFS($J$2:$J$500,$B$2:$B$500,$B138,$A$2:$A$500,$A138-1),IF($D138="Papildomi (R+)",IFERROR(MAX(0,($F138-900)/1000),0),0))))</f>
        <v>0.4498792270531401</v>
      </c>
    </row>
    <row r="139" spans="1:10" ht="15" customHeight="1" x14ac:dyDescent="0.3">
      <c r="A139" s="22">
        <v>2023</v>
      </c>
      <c r="B139" s="22" t="s">
        <v>54</v>
      </c>
      <c r="C139" s="22" t="s">
        <v>49</v>
      </c>
      <c r="D139" s="22" t="s">
        <v>50</v>
      </c>
      <c r="E139" s="22">
        <v>6961</v>
      </c>
      <c r="F139" s="22"/>
      <c r="G139" s="22"/>
      <c r="H139" s="22">
        <v>1</v>
      </c>
      <c r="I139" s="22" t="s">
        <v>51</v>
      </c>
      <c r="J139" s="23">
        <f>IF($D139="LSF čempionatas",IFERROR($E139/SUMIFS(Parametrai!$B$2:$B$21,Parametrai!$A$2:$A$21,$A139)*SUMIFS(Parametrai!$E$2:$E$21,Parametrai!$A$2:$A$21,$A139),0),IF($D139="Kitos varžybos, deklaruotos reitingui",IFERROR($F139/MAX($G139,SUMIFS(Parametrai!$F$2:$F$21,Parametrai!$A$2:$A$21,$A139))*IF($H139="",1,$H139),0),IF($D139="Susikertančios su Lietuvos čempionatu",0.95*SUMIFS($J$2:$J$500,$B$2:$B$500,$B139,$A$2:$A$500,$A139-1),IF($D139="Papildomi (R+)",IFERROR(MAX(0,($F139-900)/1000),0),0))))</f>
        <v>0.84070048309178746</v>
      </c>
    </row>
    <row r="140" spans="1:10" ht="15" customHeight="1" x14ac:dyDescent="0.3">
      <c r="A140" s="22">
        <v>2023</v>
      </c>
      <c r="B140" s="22" t="s">
        <v>55</v>
      </c>
      <c r="C140" s="22" t="s">
        <v>56</v>
      </c>
      <c r="D140" s="22" t="s">
        <v>50</v>
      </c>
      <c r="E140" s="22">
        <v>6799</v>
      </c>
      <c r="F140" s="22"/>
      <c r="G140" s="22"/>
      <c r="H140" s="22">
        <v>1</v>
      </c>
      <c r="I140" s="22" t="s">
        <v>51</v>
      </c>
      <c r="J140" s="23">
        <f>IF($D140="LSF čempionatas",IFERROR($E140/SUMIFS(Parametrai!$B$2:$B$21,Parametrai!$A$2:$A$21,$A140)*SUMIFS(Parametrai!$E$2:$E$21,Parametrai!$A$2:$A$21,$A140),0),IF($D140="Kitos varžybos, deklaruotos reitingui",IFERROR($F140/MAX($G140,SUMIFS(Parametrai!$F$2:$F$21,Parametrai!$A$2:$A$21,$A140))*IF($H140="",1,$H140),0),IF($D140="Susikertančios su Lietuvos čempionatu",0.95*SUMIFS($J$2:$J$500,$B$2:$B$500,$B140,$A$2:$A$500,$A140-1),IF($D140="Papildomi (R+)",IFERROR(MAX(0,($F140-900)/1000),0),0))))</f>
        <v>0.82113526570048312</v>
      </c>
    </row>
    <row r="141" spans="1:10" ht="15" customHeight="1" x14ac:dyDescent="0.3">
      <c r="A141" s="22">
        <v>2023</v>
      </c>
      <c r="B141" s="22" t="s">
        <v>81</v>
      </c>
      <c r="C141" s="22" t="s">
        <v>49</v>
      </c>
      <c r="D141" s="22" t="s">
        <v>50</v>
      </c>
      <c r="E141" s="22">
        <v>7797</v>
      </c>
      <c r="F141" s="22"/>
      <c r="G141" s="22"/>
      <c r="H141" s="22">
        <v>1</v>
      </c>
      <c r="I141" s="22" t="s">
        <v>51</v>
      </c>
      <c r="J141" s="23">
        <f>IF($D141="LSF čempionatas",IFERROR($E141/SUMIFS(Parametrai!$B$2:$B$21,Parametrai!$A$2:$A$21,$A141)*SUMIFS(Parametrai!$E$2:$E$21,Parametrai!$A$2:$A$21,$A141),0),IF($D141="Kitos varžybos, deklaruotos reitingui",IFERROR($F141/MAX($G141,SUMIFS(Parametrai!$F$2:$F$21,Parametrai!$A$2:$A$21,$A141))*IF($H141="",1,$H141),0),IF($D141="Susikertančios su Lietuvos čempionatu",0.95*SUMIFS($J$2:$J$500,$B$2:$B$500,$B141,$A$2:$A$500,$A141-1),IF($D141="Papildomi (R+)",IFERROR(MAX(0,($F141-900)/1000),0),0))))</f>
        <v>0.94166666666666665</v>
      </c>
    </row>
    <row r="142" spans="1:10" ht="15" customHeight="1" x14ac:dyDescent="0.3">
      <c r="A142" s="22">
        <v>2023</v>
      </c>
      <c r="B142" s="22" t="s">
        <v>57</v>
      </c>
      <c r="C142" s="22" t="s">
        <v>53</v>
      </c>
      <c r="D142" s="22" t="s">
        <v>50</v>
      </c>
      <c r="E142" s="22">
        <v>7022</v>
      </c>
      <c r="F142" s="22"/>
      <c r="G142" s="22"/>
      <c r="H142" s="22">
        <v>1</v>
      </c>
      <c r="I142" s="22" t="s">
        <v>51</v>
      </c>
      <c r="J142" s="23">
        <f>IF($D142="LSF čempionatas",IFERROR($E142/SUMIFS(Parametrai!$B$2:$B$21,Parametrai!$A$2:$A$21,$A142)*SUMIFS(Parametrai!$E$2:$E$21,Parametrai!$A$2:$A$21,$A142),0),IF($D142="Kitos varžybos, deklaruotos reitingui",IFERROR($F142/MAX($G142,SUMIFS(Parametrai!$F$2:$F$21,Parametrai!$A$2:$A$21,$A142))*IF($H142="",1,$H142),0),IF($D142="Susikertančios su Lietuvos čempionatu",0.95*SUMIFS($J$2:$J$500,$B$2:$B$500,$B142,$A$2:$A$500,$A142-1),IF($D142="Papildomi (R+)",IFERROR(MAX(0,($F142-900)/1000),0),0))))</f>
        <v>0.84806763285024156</v>
      </c>
    </row>
    <row r="143" spans="1:10" ht="15" customHeight="1" x14ac:dyDescent="0.3">
      <c r="A143" s="22">
        <v>2023</v>
      </c>
      <c r="B143" s="22" t="s">
        <v>57</v>
      </c>
      <c r="C143" s="22" t="s">
        <v>53</v>
      </c>
      <c r="D143" s="22" t="s">
        <v>99</v>
      </c>
      <c r="E143" s="22"/>
      <c r="F143" s="22">
        <v>939.28</v>
      </c>
      <c r="G143" s="22"/>
      <c r="H143" s="22"/>
      <c r="I143" s="22" t="s">
        <v>100</v>
      </c>
      <c r="J143" s="23">
        <f>IF($D143="LSF čempionatas",IFERROR($E143/SUMIFS(Parametrai!$B$2:$B$21,Parametrai!$A$2:$A$21,$A143)*SUMIFS(Parametrai!$E$2:$E$21,Parametrai!$A$2:$A$21,$A143),0),IF($D143="Kitos varžybos, deklaruotos reitingui",IFERROR($F143/MAX($G143,SUMIFS(Parametrai!$F$2:$F$21,Parametrai!$A$2:$A$21,$A143))*IF($H143="",1,$H143),0),IF($D143="Susikertančios su Lietuvos čempionatu",0.95*SUMIFS($J$2:$J$500,$B$2:$B$500,$B143,$A$2:$A$500,$A143-1),IF($D143="Papildomi (R+)",IFERROR(MAX(0,($F143-900)/1000),0),0))))</f>
        <v>3.9279999999999975E-2</v>
      </c>
    </row>
    <row r="144" spans="1:10" ht="15" customHeight="1" x14ac:dyDescent="0.3">
      <c r="A144" s="22">
        <v>2023</v>
      </c>
      <c r="B144" s="22" t="s">
        <v>101</v>
      </c>
      <c r="C144" s="22" t="s">
        <v>49</v>
      </c>
      <c r="D144" s="22" t="s">
        <v>50</v>
      </c>
      <c r="E144" s="22">
        <v>3702</v>
      </c>
      <c r="F144" s="22"/>
      <c r="G144" s="22"/>
      <c r="H144" s="22">
        <v>1</v>
      </c>
      <c r="I144" s="22" t="s">
        <v>51</v>
      </c>
      <c r="J144" s="23">
        <f>IF($D144="LSF čempionatas",IFERROR($E144/SUMIFS(Parametrai!$B$2:$B$21,Parametrai!$A$2:$A$21,$A144)*SUMIFS(Parametrai!$E$2:$E$21,Parametrai!$A$2:$A$21,$A144),0),IF($D144="Kitos varžybos, deklaruotos reitingui",IFERROR($F144/MAX($G144,SUMIFS(Parametrai!$F$2:$F$21,Parametrai!$A$2:$A$21,$A144))*IF($H144="",1,$H144),0),IF($D144="Susikertančios su Lietuvos čempionatu",0.95*SUMIFS($J$2:$J$500,$B$2:$B$500,$B144,$A$2:$A$500,$A144-1),IF($D144="Papildomi (R+)",IFERROR(MAX(0,($F144-900)/1000),0),0))))</f>
        <v>0.44710144927536233</v>
      </c>
    </row>
    <row r="145" spans="1:10" ht="15" customHeight="1" x14ac:dyDescent="0.3">
      <c r="A145" s="22">
        <v>2023</v>
      </c>
      <c r="B145" s="22" t="s">
        <v>58</v>
      </c>
      <c r="C145" s="22" t="s">
        <v>59</v>
      </c>
      <c r="D145" s="22" t="s">
        <v>50</v>
      </c>
      <c r="E145" s="22">
        <v>7515</v>
      </c>
      <c r="F145" s="22"/>
      <c r="G145" s="22"/>
      <c r="H145" s="22">
        <v>1</v>
      </c>
      <c r="I145" s="22" t="s">
        <v>51</v>
      </c>
      <c r="J145" s="23">
        <f>IF($D145="LSF čempionatas",IFERROR($E145/SUMIFS(Parametrai!$B$2:$B$21,Parametrai!$A$2:$A$21,$A145)*SUMIFS(Parametrai!$E$2:$E$21,Parametrai!$A$2:$A$21,$A145),0),IF($D145="Kitos varžybos, deklaruotos reitingui",IFERROR($F145/MAX($G145,SUMIFS(Parametrai!$F$2:$F$21,Parametrai!$A$2:$A$21,$A145))*IF($H145="",1,$H145),0),IF($D145="Susikertančios su Lietuvos čempionatu",0.95*SUMIFS($J$2:$J$500,$B$2:$B$500,$B145,$A$2:$A$500,$A145-1),IF($D145="Papildomi (R+)",IFERROR(MAX(0,($F145-900)/1000),0),0))))</f>
        <v>0.90760869565217395</v>
      </c>
    </row>
    <row r="146" spans="1:10" ht="15" customHeight="1" x14ac:dyDescent="0.3">
      <c r="A146" s="22">
        <v>2023</v>
      </c>
      <c r="B146" s="22" t="s">
        <v>102</v>
      </c>
      <c r="C146" s="22" t="s">
        <v>69</v>
      </c>
      <c r="D146" s="22" t="s">
        <v>50</v>
      </c>
      <c r="E146" s="22">
        <v>8073</v>
      </c>
      <c r="F146" s="22"/>
      <c r="G146" s="22"/>
      <c r="H146" s="22">
        <v>1</v>
      </c>
      <c r="I146" s="22" t="s">
        <v>51</v>
      </c>
      <c r="J146" s="23">
        <f>IF($D146="LSF čempionatas",IFERROR($E146/SUMIFS(Parametrai!$B$2:$B$21,Parametrai!$A$2:$A$21,$A146)*SUMIFS(Parametrai!$E$2:$E$21,Parametrai!$A$2:$A$21,$A146),0),IF($D146="Kitos varžybos, deklaruotos reitingui",IFERROR($F146/MAX($G146,SUMIFS(Parametrai!$F$2:$F$21,Parametrai!$A$2:$A$21,$A146))*IF($H146="",1,$H146),0),IF($D146="Susikertančios su Lietuvos čempionatu",0.95*SUMIFS($J$2:$J$500,$B$2:$B$500,$B146,$A$2:$A$500,$A146-1),IF($D146="Papildomi (R+)",IFERROR(MAX(0,($F146-900)/1000),0),0))))</f>
        <v>0.97499999999999998</v>
      </c>
    </row>
    <row r="147" spans="1:10" ht="15" customHeight="1" x14ac:dyDescent="0.3">
      <c r="A147" s="22">
        <v>2023</v>
      </c>
      <c r="B147" s="22" t="s">
        <v>102</v>
      </c>
      <c r="C147" s="22" t="s">
        <v>69</v>
      </c>
      <c r="D147" s="22" t="s">
        <v>99</v>
      </c>
      <c r="E147" s="22"/>
      <c r="F147" s="22">
        <v>944.95</v>
      </c>
      <c r="G147" s="22"/>
      <c r="H147" s="22"/>
      <c r="I147" s="22" t="s">
        <v>100</v>
      </c>
      <c r="J147" s="23">
        <f>IF($D147="LSF čempionatas",IFERROR($E147/SUMIFS(Parametrai!$B$2:$B$21,Parametrai!$A$2:$A$21,$A147)*SUMIFS(Parametrai!$E$2:$E$21,Parametrai!$A$2:$A$21,$A147),0),IF($D147="Kitos varžybos, deklaruotos reitingui",IFERROR($F147/MAX($G147,SUMIFS(Parametrai!$F$2:$F$21,Parametrai!$A$2:$A$21,$A147))*IF($H147="",1,$H147),0),IF($D147="Susikertančios su Lietuvos čempionatu",0.95*SUMIFS($J$2:$J$500,$B$2:$B$500,$B147,$A$2:$A$500,$A147-1),IF($D147="Papildomi (R+)",IFERROR(MAX(0,($F147-900)/1000),0),0))))</f>
        <v>4.4950000000000045E-2</v>
      </c>
    </row>
    <row r="148" spans="1:10" ht="15" customHeight="1" x14ac:dyDescent="0.3">
      <c r="A148" s="22">
        <v>2023</v>
      </c>
      <c r="B148" s="22" t="s">
        <v>60</v>
      </c>
      <c r="C148" s="22" t="s">
        <v>61</v>
      </c>
      <c r="D148" s="22" t="s">
        <v>50</v>
      </c>
      <c r="E148" s="22">
        <v>5918</v>
      </c>
      <c r="F148" s="22"/>
      <c r="G148" s="22"/>
      <c r="H148" s="22">
        <v>1</v>
      </c>
      <c r="I148" s="22" t="s">
        <v>51</v>
      </c>
      <c r="J148" s="23">
        <f>IF($D148="LSF čempionatas",IFERROR($E148/SUMIFS(Parametrai!$B$2:$B$21,Parametrai!$A$2:$A$21,$A148)*SUMIFS(Parametrai!$E$2:$E$21,Parametrai!$A$2:$A$21,$A148),0),IF($D148="Kitos varžybos, deklaruotos reitingui",IFERROR($F148/MAX($G148,SUMIFS(Parametrai!$F$2:$F$21,Parametrai!$A$2:$A$21,$A148))*IF($H148="",1,$H148),0),IF($D148="Susikertančios su Lietuvos čempionatu",0.95*SUMIFS($J$2:$J$500,$B$2:$B$500,$B148,$A$2:$A$500,$A148-1),IF($D148="Papildomi (R+)",IFERROR(MAX(0,($F148-900)/1000),0),0))))</f>
        <v>0.71473429951690826</v>
      </c>
    </row>
    <row r="149" spans="1:10" ht="15" customHeight="1" x14ac:dyDescent="0.3">
      <c r="A149" s="22">
        <v>2023</v>
      </c>
      <c r="B149" s="22" t="s">
        <v>62</v>
      </c>
      <c r="C149" s="22" t="s">
        <v>56</v>
      </c>
      <c r="D149" s="22" t="s">
        <v>50</v>
      </c>
      <c r="E149" s="22">
        <v>8052</v>
      </c>
      <c r="F149" s="22"/>
      <c r="G149" s="22"/>
      <c r="H149" s="22">
        <v>1</v>
      </c>
      <c r="I149" s="22" t="s">
        <v>51</v>
      </c>
      <c r="J149" s="23">
        <f>IF($D149="LSF čempionatas",IFERROR($E149/SUMIFS(Parametrai!$B$2:$B$21,Parametrai!$A$2:$A$21,$A149)*SUMIFS(Parametrai!$E$2:$E$21,Parametrai!$A$2:$A$21,$A149),0),IF($D149="Kitos varžybos, deklaruotos reitingui",IFERROR($F149/MAX($G149,SUMIFS(Parametrai!$F$2:$F$21,Parametrai!$A$2:$A$21,$A149))*IF($H149="",1,$H149),0),IF($D149="Susikertančios su Lietuvos čempionatu",0.95*SUMIFS($J$2:$J$500,$B$2:$B$500,$B149,$A$2:$A$500,$A149-1),IF($D149="Papildomi (R+)",IFERROR(MAX(0,($F149-900)/1000),0),0))))</f>
        <v>0.97246376811594204</v>
      </c>
    </row>
    <row r="150" spans="1:10" ht="15" customHeight="1" x14ac:dyDescent="0.3">
      <c r="A150" s="22">
        <v>2023</v>
      </c>
      <c r="B150" s="22" t="s">
        <v>64</v>
      </c>
      <c r="C150" s="22" t="s">
        <v>49</v>
      </c>
      <c r="D150" s="22" t="s">
        <v>50</v>
      </c>
      <c r="E150" s="22">
        <v>7859</v>
      </c>
      <c r="F150" s="22"/>
      <c r="G150" s="22"/>
      <c r="H150" s="22">
        <v>1</v>
      </c>
      <c r="I150" s="22" t="s">
        <v>51</v>
      </c>
      <c r="J150" s="23">
        <f>IF($D150="LSF čempionatas",IFERROR($E150/SUMIFS(Parametrai!$B$2:$B$21,Parametrai!$A$2:$A$21,$A150)*SUMIFS(Parametrai!$E$2:$E$21,Parametrai!$A$2:$A$21,$A150),0),IF($D150="Kitos varžybos, deklaruotos reitingui",IFERROR($F150/MAX($G150,SUMIFS(Parametrai!$F$2:$F$21,Parametrai!$A$2:$A$21,$A150))*IF($H150="",1,$H150),0),IF($D150="Susikertančios su Lietuvos čempionatu",0.95*SUMIFS($J$2:$J$500,$B$2:$B$500,$B150,$A$2:$A$500,$A150-1),IF($D150="Papildomi (R+)",IFERROR(MAX(0,($F150-900)/1000),0),0))))</f>
        <v>0.94915458937198072</v>
      </c>
    </row>
    <row r="151" spans="1:10" ht="15" customHeight="1" x14ac:dyDescent="0.3">
      <c r="A151" s="22">
        <v>2023</v>
      </c>
      <c r="B151" s="22" t="s">
        <v>103</v>
      </c>
      <c r="C151" s="22" t="s">
        <v>49</v>
      </c>
      <c r="D151" s="22" t="s">
        <v>50</v>
      </c>
      <c r="E151" s="22">
        <v>8128</v>
      </c>
      <c r="F151" s="22"/>
      <c r="G151" s="22"/>
      <c r="H151" s="22">
        <v>1</v>
      </c>
      <c r="I151" s="22" t="s">
        <v>51</v>
      </c>
      <c r="J151" s="23">
        <f>IF($D151="LSF čempionatas",IFERROR($E151/SUMIFS(Parametrai!$B$2:$B$21,Parametrai!$A$2:$A$21,$A151)*SUMIFS(Parametrai!$E$2:$E$21,Parametrai!$A$2:$A$21,$A151),0),IF($D151="Kitos varžybos, deklaruotos reitingui",IFERROR($F151/MAX($G151,SUMIFS(Parametrai!$F$2:$F$21,Parametrai!$A$2:$A$21,$A151))*IF($H151="",1,$H151),0),IF($D151="Susikertančios su Lietuvos čempionatu",0.95*SUMIFS($J$2:$J$500,$B$2:$B$500,$B151,$A$2:$A$500,$A151-1),IF($D151="Papildomi (R+)",IFERROR(MAX(0,($F151-900)/1000),0),0))))</f>
        <v>0.98164251207729469</v>
      </c>
    </row>
    <row r="152" spans="1:10" ht="15" customHeight="1" x14ac:dyDescent="0.3">
      <c r="A152" s="22">
        <v>2023</v>
      </c>
      <c r="B152" s="22" t="s">
        <v>78</v>
      </c>
      <c r="C152" s="22" t="s">
        <v>53</v>
      </c>
      <c r="D152" s="22" t="s">
        <v>50</v>
      </c>
      <c r="E152" s="22">
        <v>8280</v>
      </c>
      <c r="F152" s="22"/>
      <c r="G152" s="22"/>
      <c r="H152" s="22">
        <v>1</v>
      </c>
      <c r="I152" s="22" t="s">
        <v>51</v>
      </c>
      <c r="J152" s="23">
        <f>IF($D152="LSF čempionatas",IFERROR($E152/SUMIFS(Parametrai!$B$2:$B$21,Parametrai!$A$2:$A$21,$A152)*SUMIFS(Parametrai!$E$2:$E$21,Parametrai!$A$2:$A$21,$A152),0),IF($D152="Kitos varžybos, deklaruotos reitingui",IFERROR($F152/MAX($G152,SUMIFS(Parametrai!$F$2:$F$21,Parametrai!$A$2:$A$21,$A152))*IF($H152="",1,$H152),0),IF($D152="Susikertančios su Lietuvos čempionatu",0.95*SUMIFS($J$2:$J$500,$B$2:$B$500,$B152,$A$2:$A$500,$A152-1),IF($D152="Papildomi (R+)",IFERROR(MAX(0,($F152-900)/1000),0),0))))</f>
        <v>1</v>
      </c>
    </row>
    <row r="153" spans="1:10" ht="15" customHeight="1" x14ac:dyDescent="0.3">
      <c r="A153" s="22">
        <v>2023</v>
      </c>
      <c r="B153" s="22" t="s">
        <v>86</v>
      </c>
      <c r="C153" s="22" t="s">
        <v>49</v>
      </c>
      <c r="D153" s="22" t="s">
        <v>50</v>
      </c>
      <c r="E153" s="22">
        <v>8188</v>
      </c>
      <c r="F153" s="22"/>
      <c r="G153" s="22"/>
      <c r="H153" s="22">
        <v>1</v>
      </c>
      <c r="I153" s="22" t="s">
        <v>51</v>
      </c>
      <c r="J153" s="23">
        <f>IF($D153="LSF čempionatas",IFERROR($E153/SUMIFS(Parametrai!$B$2:$B$21,Parametrai!$A$2:$A$21,$A153)*SUMIFS(Parametrai!$E$2:$E$21,Parametrai!$A$2:$A$21,$A153),0),IF($D153="Kitos varžybos, deklaruotos reitingui",IFERROR($F153/MAX($G153,SUMIFS(Parametrai!$F$2:$F$21,Parametrai!$A$2:$A$21,$A153))*IF($H153="",1,$H153),0),IF($D153="Susikertančios su Lietuvos čempionatu",0.95*SUMIFS($J$2:$J$500,$B$2:$B$500,$B153,$A$2:$A$500,$A153-1),IF($D153="Papildomi (R+)",IFERROR(MAX(0,($F153-900)/1000),0),0))))</f>
        <v>0.98888888888888893</v>
      </c>
    </row>
    <row r="154" spans="1:10" ht="15" customHeight="1" x14ac:dyDescent="0.3">
      <c r="A154" s="22">
        <v>2023</v>
      </c>
      <c r="B154" s="22" t="s">
        <v>86</v>
      </c>
      <c r="C154" s="22" t="s">
        <v>49</v>
      </c>
      <c r="D154" s="22" t="s">
        <v>99</v>
      </c>
      <c r="E154" s="22"/>
      <c r="F154" s="22">
        <v>913.52</v>
      </c>
      <c r="G154" s="22"/>
      <c r="H154" s="22"/>
      <c r="I154" s="22" t="s">
        <v>104</v>
      </c>
      <c r="J154" s="23">
        <f>IF($D154="LSF čempionatas",IFERROR($E154/SUMIFS(Parametrai!$B$2:$B$21,Parametrai!$A$2:$A$21,$A154)*SUMIFS(Parametrai!$E$2:$E$21,Parametrai!$A$2:$A$21,$A154),0),IF($D154="Kitos varžybos, deklaruotos reitingui",IFERROR($F154/MAX($G154,SUMIFS(Parametrai!$F$2:$F$21,Parametrai!$A$2:$A$21,$A154))*IF($H154="",1,$H154),0),IF($D154="Susikertančios su Lietuvos čempionatu",0.95*SUMIFS($J$2:$J$500,$B$2:$B$500,$B154,$A$2:$A$500,$A154-1),IF($D154="Papildomi (R+)",IFERROR(MAX(0,($F154-900)/1000),0),0))))</f>
        <v>1.3519999999999982E-2</v>
      </c>
    </row>
    <row r="155" spans="1:10" ht="15" customHeight="1" x14ac:dyDescent="0.3">
      <c r="A155" s="22">
        <v>2023</v>
      </c>
      <c r="B155" s="22" t="s">
        <v>67</v>
      </c>
      <c r="C155" s="22" t="s">
        <v>53</v>
      </c>
      <c r="D155" s="22" t="s">
        <v>50</v>
      </c>
      <c r="E155" s="22">
        <v>5481</v>
      </c>
      <c r="F155" s="22"/>
      <c r="G155" s="22"/>
      <c r="H155" s="22">
        <v>1</v>
      </c>
      <c r="I155" s="22" t="s">
        <v>51</v>
      </c>
      <c r="J155" s="23">
        <f>IF($D155="LSF čempionatas",IFERROR($E155/SUMIFS(Parametrai!$B$2:$B$21,Parametrai!$A$2:$A$21,$A155)*SUMIFS(Parametrai!$E$2:$E$21,Parametrai!$A$2:$A$21,$A155),0),IF($D155="Kitos varžybos, deklaruotos reitingui",IFERROR($F155/MAX($G155,SUMIFS(Parametrai!$F$2:$F$21,Parametrai!$A$2:$A$21,$A155))*IF($H155="",1,$H155),0),IF($D155="Susikertančios su Lietuvos čempionatu",0.95*SUMIFS($J$2:$J$500,$B$2:$B$500,$B155,$A$2:$A$500,$A155-1),IF($D155="Papildomi (R+)",IFERROR(MAX(0,($F155-900)/1000),0),0))))</f>
        <v>0.66195652173913044</v>
      </c>
    </row>
    <row r="156" spans="1:10" ht="15" customHeight="1" x14ac:dyDescent="0.3">
      <c r="A156" s="22">
        <v>2023</v>
      </c>
      <c r="B156" s="22" t="s">
        <v>79</v>
      </c>
      <c r="C156" s="22" t="s">
        <v>49</v>
      </c>
      <c r="D156" s="22" t="s">
        <v>50</v>
      </c>
      <c r="E156" s="22">
        <v>1988</v>
      </c>
      <c r="F156" s="22"/>
      <c r="G156" s="22"/>
      <c r="H156" s="22">
        <v>1</v>
      </c>
      <c r="I156" s="22" t="s">
        <v>51</v>
      </c>
      <c r="J156" s="23">
        <f>IF($D156="LSF čempionatas",IFERROR($E156/SUMIFS(Parametrai!$B$2:$B$21,Parametrai!$A$2:$A$21,$A156)*SUMIFS(Parametrai!$E$2:$E$21,Parametrai!$A$2:$A$21,$A156),0),IF($D156="Kitos varžybos, deklaruotos reitingui",IFERROR($F156/MAX($G156,SUMIFS(Parametrai!$F$2:$F$21,Parametrai!$A$2:$A$21,$A156))*IF($H156="",1,$H156),0),IF($D156="Susikertančios su Lietuvos čempionatu",0.95*SUMIFS($J$2:$J$500,$B$2:$B$500,$B156,$A$2:$A$500,$A156-1),IF($D156="Papildomi (R+)",IFERROR(MAX(0,($F156-900)/1000),0),0))))</f>
        <v>0.24009661835748791</v>
      </c>
    </row>
    <row r="157" spans="1:10" ht="15" customHeight="1" x14ac:dyDescent="0.3">
      <c r="A157" s="22">
        <v>2023</v>
      </c>
      <c r="B157" s="22" t="s">
        <v>90</v>
      </c>
      <c r="C157" s="22" t="s">
        <v>49</v>
      </c>
      <c r="D157" s="22" t="s">
        <v>50</v>
      </c>
      <c r="E157" s="22">
        <v>4724</v>
      </c>
      <c r="F157" s="22"/>
      <c r="G157" s="22"/>
      <c r="H157" s="22">
        <v>1</v>
      </c>
      <c r="I157" s="22" t="s">
        <v>51</v>
      </c>
      <c r="J157" s="23">
        <f>IF($D157="LSF čempionatas",IFERROR($E157/SUMIFS(Parametrai!$B$2:$B$21,Parametrai!$A$2:$A$21,$A157)*SUMIFS(Parametrai!$E$2:$E$21,Parametrai!$A$2:$A$21,$A157),0),IF($D157="Kitos varžybos, deklaruotos reitingui",IFERROR($F157/MAX($G157,SUMIFS(Parametrai!$F$2:$F$21,Parametrai!$A$2:$A$21,$A157))*IF($H157="",1,$H157),0),IF($D157="Susikertančios su Lietuvos čempionatu",0.95*SUMIFS($J$2:$J$500,$B$2:$B$500,$B157,$A$2:$A$500,$A157-1),IF($D157="Papildomi (R+)",IFERROR(MAX(0,($F157-900)/1000),0),0))))</f>
        <v>0.5705314009661836</v>
      </c>
    </row>
    <row r="158" spans="1:10" ht="15" customHeight="1" x14ac:dyDescent="0.3">
      <c r="A158" s="22">
        <v>2023</v>
      </c>
      <c r="B158" s="22" t="s">
        <v>83</v>
      </c>
      <c r="C158" s="22" t="s">
        <v>56</v>
      </c>
      <c r="D158" s="22" t="s">
        <v>50</v>
      </c>
      <c r="E158" s="22">
        <v>7214</v>
      </c>
      <c r="F158" s="22"/>
      <c r="G158" s="22"/>
      <c r="H158" s="22">
        <v>1</v>
      </c>
      <c r="I158" s="22" t="s">
        <v>51</v>
      </c>
      <c r="J158" s="23">
        <f>IF($D158="LSF čempionatas",IFERROR($E158/SUMIFS(Parametrai!$B$2:$B$21,Parametrai!$A$2:$A$21,$A158)*SUMIFS(Parametrai!$E$2:$E$21,Parametrai!$A$2:$A$21,$A158),0),IF($D158="Kitos varžybos, deklaruotos reitingui",IFERROR($F158/MAX($G158,SUMIFS(Parametrai!$F$2:$F$21,Parametrai!$A$2:$A$21,$A158))*IF($H158="",1,$H158),0),IF($D158="Susikertančios su Lietuvos čempionatu",0.95*SUMIFS($J$2:$J$500,$B$2:$B$500,$B158,$A$2:$A$500,$A158-1),IF($D158="Papildomi (R+)",IFERROR(MAX(0,($F158-900)/1000),0),0))))</f>
        <v>0.87125603864734302</v>
      </c>
    </row>
    <row r="159" spans="1:10" ht="15" customHeight="1" x14ac:dyDescent="0.3">
      <c r="A159" s="22">
        <v>2023</v>
      </c>
      <c r="B159" s="22" t="s">
        <v>72</v>
      </c>
      <c r="C159" s="22" t="s">
        <v>53</v>
      </c>
      <c r="D159" s="22" t="s">
        <v>50</v>
      </c>
      <c r="E159" s="22">
        <v>6092</v>
      </c>
      <c r="F159" s="22"/>
      <c r="G159" s="22"/>
      <c r="H159" s="22">
        <v>1</v>
      </c>
      <c r="I159" s="22" t="s">
        <v>51</v>
      </c>
      <c r="J159" s="23">
        <f>IF($D159="LSF čempionatas",IFERROR($E159/SUMIFS(Parametrai!$B$2:$B$21,Parametrai!$A$2:$A$21,$A159)*SUMIFS(Parametrai!$E$2:$E$21,Parametrai!$A$2:$A$21,$A159),0),IF($D159="Kitos varžybos, deklaruotos reitingui",IFERROR($F159/MAX($G159,SUMIFS(Parametrai!$F$2:$F$21,Parametrai!$A$2:$A$21,$A159))*IF($H159="",1,$H159),0),IF($D159="Susikertančios su Lietuvos čempionatu",0.95*SUMIFS($J$2:$J$500,$B$2:$B$500,$B159,$A$2:$A$500,$A159-1),IF($D159="Papildomi (R+)",IFERROR(MAX(0,($F159-900)/1000),0),0))))</f>
        <v>0.73574879227053136</v>
      </c>
    </row>
    <row r="160" spans="1:10" ht="15" customHeight="1" x14ac:dyDescent="0.3">
      <c r="A160" s="22">
        <v>2023</v>
      </c>
      <c r="B160" s="22" t="s">
        <v>105</v>
      </c>
      <c r="C160" s="22" t="s">
        <v>106</v>
      </c>
      <c r="D160" s="22" t="s">
        <v>50</v>
      </c>
      <c r="E160" s="22">
        <v>2634</v>
      </c>
      <c r="F160" s="22"/>
      <c r="G160" s="22"/>
      <c r="H160" s="22">
        <v>1</v>
      </c>
      <c r="I160" s="22" t="s">
        <v>51</v>
      </c>
      <c r="J160" s="23">
        <f>IF($D160="LSF čempionatas",IFERROR($E160/SUMIFS(Parametrai!$B$2:$B$21,Parametrai!$A$2:$A$21,$A160)*SUMIFS(Parametrai!$E$2:$E$21,Parametrai!$A$2:$A$21,$A160),0),IF($D160="Kitos varžybos, deklaruotos reitingui",IFERROR($F160/MAX($G160,SUMIFS(Parametrai!$F$2:$F$21,Parametrai!$A$2:$A$21,$A160))*IF($H160="",1,$H160),0),IF($D160="Susikertančios su Lietuvos čempionatu",0.95*SUMIFS($J$2:$J$500,$B$2:$B$500,$B160,$A$2:$A$500,$A160-1),IF($D160="Papildomi (R+)",IFERROR(MAX(0,($F160-900)/1000),0),0))))</f>
        <v>0.31811594202898552</v>
      </c>
    </row>
    <row r="161" spans="1:10" ht="15" customHeight="1" x14ac:dyDescent="0.3">
      <c r="A161" s="22">
        <v>2023</v>
      </c>
      <c r="B161" s="22" t="s">
        <v>74</v>
      </c>
      <c r="C161" s="22" t="s">
        <v>53</v>
      </c>
      <c r="D161" s="22" t="s">
        <v>50</v>
      </c>
      <c r="E161" s="22">
        <v>3030</v>
      </c>
      <c r="F161" s="22"/>
      <c r="G161" s="22"/>
      <c r="H161" s="22">
        <v>1</v>
      </c>
      <c r="I161" s="22" t="s">
        <v>51</v>
      </c>
      <c r="J161" s="23">
        <f>IF($D161="LSF čempionatas",IFERROR($E161/SUMIFS(Parametrai!$B$2:$B$21,Parametrai!$A$2:$A$21,$A161)*SUMIFS(Parametrai!$E$2:$E$21,Parametrai!$A$2:$A$21,$A161),0),IF($D161="Kitos varžybos, deklaruotos reitingui",IFERROR($F161/MAX($G161,SUMIFS(Parametrai!$F$2:$F$21,Parametrai!$A$2:$A$21,$A161))*IF($H161="",1,$H161),0),IF($D161="Susikertančios su Lietuvos čempionatu",0.95*SUMIFS($J$2:$J$500,$B$2:$B$500,$B161,$A$2:$A$500,$A161-1),IF($D161="Papildomi (R+)",IFERROR(MAX(0,($F161-900)/1000),0),0))))</f>
        <v>0.36594202898550726</v>
      </c>
    </row>
    <row r="162" spans="1:10" ht="15" customHeight="1" x14ac:dyDescent="0.3">
      <c r="A162" s="22">
        <v>2023</v>
      </c>
      <c r="B162" s="22" t="s">
        <v>75</v>
      </c>
      <c r="C162" s="22" t="s">
        <v>56</v>
      </c>
      <c r="D162" s="22" t="s">
        <v>50</v>
      </c>
      <c r="E162" s="22">
        <v>7753</v>
      </c>
      <c r="F162" s="22"/>
      <c r="G162" s="22"/>
      <c r="H162" s="22">
        <v>1</v>
      </c>
      <c r="I162" s="22" t="s">
        <v>51</v>
      </c>
      <c r="J162" s="23">
        <f>IF($D162="LSF čempionatas",IFERROR($E162/SUMIFS(Parametrai!$B$2:$B$21,Parametrai!$A$2:$A$21,$A162)*SUMIFS(Parametrai!$E$2:$E$21,Parametrai!$A$2:$A$21,$A162),0),IF($D162="Kitos varžybos, deklaruotos reitingui",IFERROR($F162/MAX($G162,SUMIFS(Parametrai!$F$2:$F$21,Parametrai!$A$2:$A$21,$A162))*IF($H162="",1,$H162),0),IF($D162="Susikertančios su Lietuvos čempionatu",0.95*SUMIFS($J$2:$J$500,$B$2:$B$500,$B162,$A$2:$A$500,$A162-1),IF($D162="Papildomi (R+)",IFERROR(MAX(0,($F162-900)/1000),0),0))))</f>
        <v>0.93635265700483095</v>
      </c>
    </row>
    <row r="163" spans="1:10" ht="15" customHeight="1" x14ac:dyDescent="0.3">
      <c r="A163" s="22">
        <v>2024</v>
      </c>
      <c r="B163" s="22" t="s">
        <v>48</v>
      </c>
      <c r="C163" s="22" t="s">
        <v>49</v>
      </c>
      <c r="D163" s="22" t="s">
        <v>50</v>
      </c>
      <c r="E163" s="22">
        <v>6602</v>
      </c>
      <c r="F163" s="22"/>
      <c r="G163" s="22"/>
      <c r="H163" s="22">
        <v>1</v>
      </c>
      <c r="I163" s="22" t="s">
        <v>51</v>
      </c>
      <c r="J163" s="23">
        <f>IF($D163="LSF čempionatas",IFERROR($E163/SUMIFS(Parametrai!$B$2:$B$21,Parametrai!$A$2:$A$21,$A163)*SUMIFS(Parametrai!$E$2:$E$21,Parametrai!$A$2:$A$21,$A163),0),IF($D163="Kitos varžybos, deklaruotos reitingui",IFERROR($F163/MAX($G163,SUMIFS(Parametrai!$F$2:$F$21,Parametrai!$A$2:$A$21,$A163))*IF($H163="",1,$H163),0),IF($D163="Susikertančios su Lietuvos čempionatu",0.95*SUMIFS($J$2:$J$500,$B$2:$B$500,$B163,$A$2:$A$500,$A163-1),IF($D163="Papildomi (R+)",IFERROR(MAX(0,($F163-900)/1000),0),0))))</f>
        <v>0.92842075657432144</v>
      </c>
    </row>
    <row r="164" spans="1:10" ht="15" customHeight="1" x14ac:dyDescent="0.3">
      <c r="A164" s="22">
        <v>2024</v>
      </c>
      <c r="B164" s="22" t="s">
        <v>107</v>
      </c>
      <c r="C164" s="22" t="s">
        <v>53</v>
      </c>
      <c r="D164" s="22" t="s">
        <v>50</v>
      </c>
      <c r="E164" s="22">
        <v>2718</v>
      </c>
      <c r="F164" s="22"/>
      <c r="G164" s="22"/>
      <c r="H164" s="22">
        <v>1</v>
      </c>
      <c r="I164" s="22" t="s">
        <v>51</v>
      </c>
      <c r="J164" s="23">
        <f>IF($D164="LSF čempionatas",IFERROR($E164/SUMIFS(Parametrai!$B$2:$B$21,Parametrai!$A$2:$A$21,$A164)*SUMIFS(Parametrai!$E$2:$E$21,Parametrai!$A$2:$A$21,$A164),0),IF($D164="Kitos varžybos, deklaruotos reitingui",IFERROR($F164/MAX($G164,SUMIFS(Parametrai!$F$2:$F$21,Parametrai!$A$2:$A$21,$A164))*IF($H164="",1,$H164),0),IF($D164="Susikertančios su Lietuvos čempionatu",0.95*SUMIFS($J$2:$J$500,$B$2:$B$500,$B164,$A$2:$A$500,$A164-1),IF($D164="Papildomi (R+)",IFERROR(MAX(0,($F164-900)/1000),0),0))))</f>
        <v>0.38222472226128534</v>
      </c>
    </row>
    <row r="165" spans="1:10" ht="15" customHeight="1" x14ac:dyDescent="0.3">
      <c r="A165" s="22">
        <v>2024</v>
      </c>
      <c r="B165" s="22" t="s">
        <v>54</v>
      </c>
      <c r="C165" s="22" t="s">
        <v>49</v>
      </c>
      <c r="D165" s="22" t="s">
        <v>50</v>
      </c>
      <c r="E165" s="22">
        <v>4639</v>
      </c>
      <c r="F165" s="22"/>
      <c r="G165" s="22"/>
      <c r="H165" s="22">
        <v>1</v>
      </c>
      <c r="I165" s="22" t="s">
        <v>51</v>
      </c>
      <c r="J165" s="23">
        <f>IF($D165="LSF čempionatas",IFERROR($E165/SUMIFS(Parametrai!$B$2:$B$21,Parametrai!$A$2:$A$21,$A165)*SUMIFS(Parametrai!$E$2:$E$21,Parametrai!$A$2:$A$21,$A165),0),IF($D165="Kitos varžybos, deklaruotos reitingui",IFERROR($F165/MAX($G165,SUMIFS(Parametrai!$F$2:$F$21,Parametrai!$A$2:$A$21,$A165))*IF($H165="",1,$H165),0),IF($D165="Susikertančios su Lietuvos čempionatu",0.95*SUMIFS($J$2:$J$500,$B$2:$B$500,$B165,$A$2:$A$500,$A165-1),IF($D165="Papildomi (R+)",IFERROR(MAX(0,($F165-900)/1000),0),0))))</f>
        <v>0.65236956827450432</v>
      </c>
    </row>
    <row r="166" spans="1:10" ht="15" customHeight="1" x14ac:dyDescent="0.3">
      <c r="A166" s="22">
        <v>2024</v>
      </c>
      <c r="B166" s="22" t="s">
        <v>55</v>
      </c>
      <c r="C166" s="22" t="s">
        <v>56</v>
      </c>
      <c r="D166" s="22" t="s">
        <v>50</v>
      </c>
      <c r="E166" s="22">
        <v>4484</v>
      </c>
      <c r="F166" s="22"/>
      <c r="G166" s="22"/>
      <c r="H166" s="22">
        <v>1</v>
      </c>
      <c r="I166" s="22" t="s">
        <v>51</v>
      </c>
      <c r="J166" s="23">
        <f>IF($D166="LSF čempionatas",IFERROR($E166/SUMIFS(Parametrai!$B$2:$B$21,Parametrai!$A$2:$A$21,$A166)*SUMIFS(Parametrai!$E$2:$E$21,Parametrai!$A$2:$A$21,$A166),0),IF($D166="Kitos varžybos, deklaruotos reitingui",IFERROR($F166/MAX($G166,SUMIFS(Parametrai!$F$2:$F$21,Parametrai!$A$2:$A$21,$A166))*IF($H166="",1,$H166),0),IF($D166="Susikertančios su Lietuvos čempionatu",0.95*SUMIFS($J$2:$J$500,$B$2:$B$500,$B166,$A$2:$A$500,$A166-1),IF($D166="Papildomi (R+)",IFERROR(MAX(0,($F166-900)/1000),0),0))))</f>
        <v>0.63057235269301082</v>
      </c>
    </row>
    <row r="167" spans="1:10" ht="15" customHeight="1" x14ac:dyDescent="0.3">
      <c r="A167" s="22">
        <v>2024</v>
      </c>
      <c r="B167" s="22" t="s">
        <v>81</v>
      </c>
      <c r="C167" s="22" t="s">
        <v>49</v>
      </c>
      <c r="D167" s="22" t="s">
        <v>50</v>
      </c>
      <c r="E167" s="22">
        <v>4497</v>
      </c>
      <c r="F167" s="22"/>
      <c r="G167" s="22"/>
      <c r="H167" s="22">
        <v>1</v>
      </c>
      <c r="I167" s="22" t="s">
        <v>51</v>
      </c>
      <c r="J167" s="23">
        <f>IF($D167="LSF čempionatas",IFERROR($E167/SUMIFS(Parametrai!$B$2:$B$21,Parametrai!$A$2:$A$21,$A167)*SUMIFS(Parametrai!$E$2:$E$21,Parametrai!$A$2:$A$21,$A167),0),IF($D167="Kitos varžybos, deklaruotos reitingui",IFERROR($F167/MAX($G167,SUMIFS(Parametrai!$F$2:$F$21,Parametrai!$A$2:$A$21,$A167))*IF($H167="",1,$H167),0),IF($D167="Susikertančios su Lietuvos čempionatu",0.95*SUMIFS($J$2:$J$500,$B$2:$B$500,$B167,$A$2:$A$500,$A167-1),IF($D167="Papildomi (R+)",IFERROR(MAX(0,($F167-900)/1000),0),0))))</f>
        <v>0.63240050625791033</v>
      </c>
    </row>
    <row r="168" spans="1:10" ht="15" customHeight="1" x14ac:dyDescent="0.3">
      <c r="A168" s="22">
        <v>2024</v>
      </c>
      <c r="B168" s="22" t="s">
        <v>57</v>
      </c>
      <c r="C168" s="22" t="s">
        <v>53</v>
      </c>
      <c r="D168" s="22" t="s">
        <v>50</v>
      </c>
      <c r="E168" s="22">
        <v>6620</v>
      </c>
      <c r="F168" s="22"/>
      <c r="G168" s="22"/>
      <c r="H168" s="22">
        <v>1</v>
      </c>
      <c r="I168" s="22" t="s">
        <v>51</v>
      </c>
      <c r="J168" s="23">
        <f>IF($D168="LSF čempionatas",IFERROR($E168/SUMIFS(Parametrai!$B$2:$B$21,Parametrai!$A$2:$A$21,$A168)*SUMIFS(Parametrai!$E$2:$E$21,Parametrai!$A$2:$A$21,$A168),0),IF($D168="Kitos varžybos, deklaruotos reitingui",IFERROR($F168/MAX($G168,SUMIFS(Parametrai!$F$2:$F$21,Parametrai!$A$2:$A$21,$A168))*IF($H168="",1,$H168),0),IF($D168="Susikertančios su Lietuvos čempionatu",0.95*SUMIFS($J$2:$J$500,$B$2:$B$500,$B168,$A$2:$A$500,$A168-1),IF($D168="Papildomi (R+)",IFERROR(MAX(0,($F168-900)/1000),0),0))))</f>
        <v>0.93095204612572069</v>
      </c>
    </row>
    <row r="169" spans="1:10" ht="15" customHeight="1" x14ac:dyDescent="0.3">
      <c r="A169" s="22">
        <v>2024</v>
      </c>
      <c r="B169" s="22" t="s">
        <v>108</v>
      </c>
      <c r="C169" s="22" t="s">
        <v>53</v>
      </c>
      <c r="D169" s="22" t="s">
        <v>50</v>
      </c>
      <c r="E169" s="22">
        <v>5199</v>
      </c>
      <c r="F169" s="22"/>
      <c r="G169" s="22"/>
      <c r="H169" s="22">
        <v>1</v>
      </c>
      <c r="I169" s="22" t="s">
        <v>51</v>
      </c>
      <c r="J169" s="23">
        <f>IF($D169="LSF čempionatas",IFERROR($E169/SUMIFS(Parametrai!$B$2:$B$21,Parametrai!$A$2:$A$21,$A169)*SUMIFS(Parametrai!$E$2:$E$21,Parametrai!$A$2:$A$21,$A169),0),IF($D169="Kitos varžybos, deklaruotos reitingui",IFERROR($F169/MAX($G169,SUMIFS(Parametrai!$F$2:$F$21,Parametrai!$A$2:$A$21,$A169))*IF($H169="",1,$H169),0),IF($D169="Susikertančios su Lietuvos čempionatu",0.95*SUMIFS($J$2:$J$500,$B$2:$B$500,$B169,$A$2:$A$500,$A169-1),IF($D169="Papildomi (R+)",IFERROR(MAX(0,($F169-900)/1000),0),0))))</f>
        <v>0.73112079876248071</v>
      </c>
    </row>
    <row r="170" spans="1:10" ht="15" customHeight="1" x14ac:dyDescent="0.3">
      <c r="A170" s="22">
        <v>2024</v>
      </c>
      <c r="B170" s="22" t="s">
        <v>58</v>
      </c>
      <c r="C170" s="22" t="s">
        <v>59</v>
      </c>
      <c r="D170" s="22" t="s">
        <v>50</v>
      </c>
      <c r="E170" s="22">
        <v>6810</v>
      </c>
      <c r="F170" s="22"/>
      <c r="G170" s="22"/>
      <c r="H170" s="22">
        <v>1</v>
      </c>
      <c r="I170" s="22" t="s">
        <v>51</v>
      </c>
      <c r="J170" s="23">
        <f>IF($D170="LSF čempionatas",IFERROR($E170/SUMIFS(Parametrai!$B$2:$B$21,Parametrai!$A$2:$A$21,$A170)*SUMIFS(Parametrai!$E$2:$E$21,Parametrai!$A$2:$A$21,$A170),0),IF($D170="Kitos varžybos, deklaruotos reitingui",IFERROR($F170/MAX($G170,SUMIFS(Parametrai!$F$2:$F$21,Parametrai!$A$2:$A$21,$A170))*IF($H170="",1,$H170),0),IF($D170="Susikertančios su Lietuvos čempionatu",0.95*SUMIFS($J$2:$J$500,$B$2:$B$500,$B170,$A$2:$A$500,$A170-1),IF($D170="Papildomi (R+)",IFERROR(MAX(0,($F170-900)/1000),0),0))))</f>
        <v>0.95767121361271268</v>
      </c>
    </row>
    <row r="171" spans="1:10" ht="15" customHeight="1" x14ac:dyDescent="0.3">
      <c r="A171" s="22">
        <v>2024</v>
      </c>
      <c r="B171" s="22" t="s">
        <v>62</v>
      </c>
      <c r="C171" s="22" t="s">
        <v>56</v>
      </c>
      <c r="D171" s="22" t="s">
        <v>50</v>
      </c>
      <c r="E171" s="22">
        <v>7086</v>
      </c>
      <c r="F171" s="22"/>
      <c r="G171" s="22"/>
      <c r="H171" s="22">
        <v>1</v>
      </c>
      <c r="I171" s="22" t="s">
        <v>51</v>
      </c>
      <c r="J171" s="23">
        <f>IF($D171="LSF čempionatas",IFERROR($E171/SUMIFS(Parametrai!$B$2:$B$21,Parametrai!$A$2:$A$21,$A171)*SUMIFS(Parametrai!$E$2:$E$21,Parametrai!$A$2:$A$21,$A171),0),IF($D171="Kitos varžybos, deklaruotos reitingui",IFERROR($F171/MAX($G171,SUMIFS(Parametrai!$F$2:$F$21,Parametrai!$A$2:$A$21,$A171))*IF($H171="",1,$H171),0),IF($D171="Susikertančios su Lietuvos čempionatu",0.95*SUMIFS($J$2:$J$500,$B$2:$B$500,$B171,$A$2:$A$500,$A171-1),IF($D171="Papildomi (R+)",IFERROR(MAX(0,($F171-900)/1000),0),0))))</f>
        <v>0.99648432006750109</v>
      </c>
    </row>
    <row r="172" spans="1:10" ht="15" customHeight="1" x14ac:dyDescent="0.3">
      <c r="A172" s="22">
        <v>2024</v>
      </c>
      <c r="B172" s="22" t="s">
        <v>64</v>
      </c>
      <c r="C172" s="22" t="s">
        <v>49</v>
      </c>
      <c r="D172" s="22" t="s">
        <v>50</v>
      </c>
      <c r="E172" s="22">
        <v>5676</v>
      </c>
      <c r="F172" s="22"/>
      <c r="G172" s="22"/>
      <c r="H172" s="22">
        <v>1</v>
      </c>
      <c r="I172" s="22" t="s">
        <v>51</v>
      </c>
      <c r="J172" s="23">
        <f>IF($D172="LSF čempionatas",IFERROR($E172/SUMIFS(Parametrai!$B$2:$B$21,Parametrai!$A$2:$A$21,$A172)*SUMIFS(Parametrai!$E$2:$E$21,Parametrai!$A$2:$A$21,$A172),0),IF($D172="Kitos varžybos, deklaruotos reitingui",IFERROR($F172/MAX($G172,SUMIFS(Parametrai!$F$2:$F$21,Parametrai!$A$2:$A$21,$A172))*IF($H172="",1,$H172),0),IF($D172="Susikertančios su Lietuvos čempionatu",0.95*SUMIFS($J$2:$J$500,$B$2:$B$500,$B172,$A$2:$A$500,$A172-1),IF($D172="Papildomi (R+)",IFERROR(MAX(0,($F172-900)/1000),0),0))))</f>
        <v>0.79819997187456049</v>
      </c>
    </row>
    <row r="173" spans="1:10" ht="15" customHeight="1" x14ac:dyDescent="0.3">
      <c r="A173" s="22">
        <v>2024</v>
      </c>
      <c r="B173" s="22" t="s">
        <v>103</v>
      </c>
      <c r="C173" s="22" t="s">
        <v>49</v>
      </c>
      <c r="D173" s="22" t="s">
        <v>50</v>
      </c>
      <c r="E173" s="22">
        <v>7042</v>
      </c>
      <c r="F173" s="22"/>
      <c r="G173" s="22"/>
      <c r="H173" s="22">
        <v>1</v>
      </c>
      <c r="I173" s="22" t="s">
        <v>51</v>
      </c>
      <c r="J173" s="23">
        <f>IF($D173="LSF čempionatas",IFERROR($E173/SUMIFS(Parametrai!$B$2:$B$21,Parametrai!$A$2:$A$21,$A173)*SUMIFS(Parametrai!$E$2:$E$21,Parametrai!$A$2:$A$21,$A173),0),IF($D173="Kitos varžybos, deklaruotos reitingui",IFERROR($F173/MAX($G173,SUMIFS(Parametrai!$F$2:$F$21,Parametrai!$A$2:$A$21,$A173))*IF($H173="",1,$H173),0),IF($D173="Susikertančios su Lietuvos čempionatu",0.95*SUMIFS($J$2:$J$500,$B$2:$B$500,$B173,$A$2:$A$500,$A173-1),IF($D173="Papildomi (R+)",IFERROR(MAX(0,($F173-900)/1000),0),0))))</f>
        <v>0.99029672338630292</v>
      </c>
    </row>
    <row r="174" spans="1:10" ht="15" customHeight="1" x14ac:dyDescent="0.3">
      <c r="A174" s="22">
        <v>2024</v>
      </c>
      <c r="B174" s="22" t="s">
        <v>78</v>
      </c>
      <c r="C174" s="22" t="s">
        <v>53</v>
      </c>
      <c r="D174" s="22" t="s">
        <v>50</v>
      </c>
      <c r="E174" s="22">
        <v>7111</v>
      </c>
      <c r="F174" s="22"/>
      <c r="G174" s="22"/>
      <c r="H174" s="22">
        <v>1</v>
      </c>
      <c r="I174" s="22" t="s">
        <v>51</v>
      </c>
      <c r="J174" s="23">
        <f>IF($D174="LSF čempionatas",IFERROR($E174/SUMIFS(Parametrai!$B$2:$B$21,Parametrai!$A$2:$A$21,$A174)*SUMIFS(Parametrai!$E$2:$E$21,Parametrai!$A$2:$A$21,$A174),0),IF($D174="Kitos varžybos, deklaruotos reitingui",IFERROR($F174/MAX($G174,SUMIFS(Parametrai!$F$2:$F$21,Parametrai!$A$2:$A$21,$A174))*IF($H174="",1,$H174),0),IF($D174="Susikertančios su Lietuvos čempionatu",0.95*SUMIFS($J$2:$J$500,$B$2:$B$500,$B174,$A$2:$A$500,$A174-1),IF($D174="Papildomi (R+)",IFERROR(MAX(0,($F174-900)/1000),0),0))))</f>
        <v>1</v>
      </c>
    </row>
    <row r="175" spans="1:10" ht="15" customHeight="1" x14ac:dyDescent="0.3">
      <c r="A175" s="22">
        <v>2024</v>
      </c>
      <c r="B175" s="22" t="s">
        <v>78</v>
      </c>
      <c r="C175" s="22" t="s">
        <v>53</v>
      </c>
      <c r="D175" s="22" t="s">
        <v>99</v>
      </c>
      <c r="E175" s="22"/>
      <c r="F175" s="22">
        <v>908.77</v>
      </c>
      <c r="G175" s="22"/>
      <c r="H175" s="22"/>
      <c r="I175" s="22" t="s">
        <v>109</v>
      </c>
      <c r="J175" s="23">
        <f>IF($D175="LSF čempionatas",IFERROR($E175/SUMIFS(Parametrai!$B$2:$B$21,Parametrai!$A$2:$A$21,$A175)*SUMIFS(Parametrai!$E$2:$E$21,Parametrai!$A$2:$A$21,$A175),0),IF($D175="Kitos varžybos, deklaruotos reitingui",IFERROR($F175/MAX($G175,SUMIFS(Parametrai!$F$2:$F$21,Parametrai!$A$2:$A$21,$A175))*IF($H175="",1,$H175),0),IF($D175="Susikertančios su Lietuvos čempionatu",0.95*SUMIFS($J$2:$J$500,$B$2:$B$500,$B175,$A$2:$A$500,$A175-1),IF($D175="Papildomi (R+)",IFERROR(MAX(0,($F175-900)/1000),0),0))))</f>
        <v>8.7699999999999827E-3</v>
      </c>
    </row>
    <row r="176" spans="1:10" ht="15" customHeight="1" x14ac:dyDescent="0.3">
      <c r="A176" s="22">
        <v>2024</v>
      </c>
      <c r="B176" s="22" t="s">
        <v>86</v>
      </c>
      <c r="C176" s="22" t="s">
        <v>49</v>
      </c>
      <c r="D176" s="22" t="s">
        <v>110</v>
      </c>
      <c r="E176" s="22"/>
      <c r="F176" s="22">
        <v>895.5</v>
      </c>
      <c r="G176" s="22">
        <v>960</v>
      </c>
      <c r="H176" s="22">
        <v>1</v>
      </c>
      <c r="I176" s="22" t="s">
        <v>111</v>
      </c>
      <c r="J176" s="23">
        <f>IF($D176="LSF čempionatas",IFERROR($E176/SUMIFS(Parametrai!$B$2:$B$21,Parametrai!$A$2:$A$21,$A176)*SUMIFS(Parametrai!$E$2:$E$21,Parametrai!$A$2:$A$21,$A176),0),IF($D176="Kitos varžybos, deklaruotos reitingui",IFERROR($F176/MAX($G176,SUMIFS(Parametrai!$F$2:$F$21,Parametrai!$A$2:$A$21,$A176))*IF($H176="",1,$H176),0),IF($D176="Susikertančios su Lietuvos čempionatu",0.95*SUMIFS($J$2:$J$500,$B$2:$B$500,$B176,$A$2:$A$500,$A176-1),IF($D176="Papildomi (R+)",IFERROR(MAX(0,($F176-900)/1000),0),0))))</f>
        <v>0.93281250000000004</v>
      </c>
    </row>
    <row r="177" spans="1:10" ht="15" customHeight="1" x14ac:dyDescent="0.3">
      <c r="A177" s="22">
        <v>2024</v>
      </c>
      <c r="B177" s="22" t="s">
        <v>86</v>
      </c>
      <c r="C177" s="22" t="s">
        <v>49</v>
      </c>
      <c r="D177" s="22" t="s">
        <v>99</v>
      </c>
      <c r="E177" s="22"/>
      <c r="F177" s="22">
        <v>952.27</v>
      </c>
      <c r="G177" s="22"/>
      <c r="H177" s="22"/>
      <c r="I177" s="22" t="s">
        <v>112</v>
      </c>
      <c r="J177" s="23">
        <f>IF($D177="LSF čempionatas",IFERROR($E177/SUMIFS(Parametrai!$B$2:$B$21,Parametrai!$A$2:$A$21,$A177)*SUMIFS(Parametrai!$E$2:$E$21,Parametrai!$A$2:$A$21,$A177),0),IF($D177="Kitos varžybos, deklaruotos reitingui",IFERROR($F177/MAX($G177,SUMIFS(Parametrai!$F$2:$F$21,Parametrai!$A$2:$A$21,$A177))*IF($H177="",1,$H177),0),IF($D177="Susikertančios su Lietuvos čempionatu",0.95*SUMIFS($J$2:$J$500,$B$2:$B$500,$B177,$A$2:$A$500,$A177-1),IF($D177="Papildomi (R+)",IFERROR(MAX(0,($F177-900)/1000),0),0))))</f>
        <v>5.2269999999999983E-2</v>
      </c>
    </row>
    <row r="178" spans="1:10" ht="15" customHeight="1" x14ac:dyDescent="0.3">
      <c r="A178" s="22">
        <v>2024</v>
      </c>
      <c r="B178" s="22" t="s">
        <v>83</v>
      </c>
      <c r="C178" s="22" t="s">
        <v>56</v>
      </c>
      <c r="D178" s="22" t="s">
        <v>50</v>
      </c>
      <c r="E178" s="22">
        <v>4676</v>
      </c>
      <c r="F178" s="22"/>
      <c r="G178" s="22"/>
      <c r="H178" s="22">
        <v>1</v>
      </c>
      <c r="I178" s="22" t="s">
        <v>51</v>
      </c>
      <c r="J178" s="23">
        <f>IF($D178="LSF čempionatas",IFERROR($E178/SUMIFS(Parametrai!$B$2:$B$21,Parametrai!$A$2:$A$21,$A178)*SUMIFS(Parametrai!$E$2:$E$21,Parametrai!$A$2:$A$21,$A178),0),IF($D178="Kitos varžybos, deklaruotos reitingui",IFERROR($F178/MAX($G178,SUMIFS(Parametrai!$F$2:$F$21,Parametrai!$A$2:$A$21,$A178))*IF($H178="",1,$H178),0),IF($D178="Susikertančios su Lietuvos čempionatu",0.95*SUMIFS($J$2:$J$500,$B$2:$B$500,$B178,$A$2:$A$500,$A178-1),IF($D178="Papildomi (R+)",IFERROR(MAX(0,($F178-900)/1000),0),0))))</f>
        <v>0.65757277457460273</v>
      </c>
    </row>
    <row r="179" spans="1:10" ht="15" customHeight="1" x14ac:dyDescent="0.3">
      <c r="A179" s="22">
        <v>2024</v>
      </c>
      <c r="B179" s="22" t="s">
        <v>72</v>
      </c>
      <c r="C179" s="22" t="s">
        <v>53</v>
      </c>
      <c r="D179" s="22" t="s">
        <v>50</v>
      </c>
      <c r="E179" s="22">
        <v>4605</v>
      </c>
      <c r="F179" s="22"/>
      <c r="G179" s="22"/>
      <c r="H179" s="22">
        <v>1</v>
      </c>
      <c r="I179" s="22" t="s">
        <v>51</v>
      </c>
      <c r="J179" s="23">
        <f>IF($D179="LSF čempionatas",IFERROR($E179/SUMIFS(Parametrai!$B$2:$B$21,Parametrai!$A$2:$A$21,$A179)*SUMIFS(Parametrai!$E$2:$E$21,Parametrai!$A$2:$A$21,$A179),0),IF($D179="Kitos varžybos, deklaruotos reitingui",IFERROR($F179/MAX($G179,SUMIFS(Parametrai!$F$2:$F$21,Parametrai!$A$2:$A$21,$A179))*IF($H179="",1,$H179),0),IF($D179="Susikertančios su Lietuvos čempionatu",0.95*SUMIFS($J$2:$J$500,$B$2:$B$500,$B179,$A$2:$A$500,$A179-1),IF($D179="Papildomi (R+)",IFERROR(MAX(0,($F179-900)/1000),0),0))))</f>
        <v>0.64758824356630573</v>
      </c>
    </row>
    <row r="180" spans="1:10" ht="15" customHeight="1" x14ac:dyDescent="0.3">
      <c r="A180" s="22">
        <v>2024</v>
      </c>
      <c r="B180" s="22" t="s">
        <v>105</v>
      </c>
      <c r="C180" s="22" t="s">
        <v>106</v>
      </c>
      <c r="D180" s="22" t="s">
        <v>50</v>
      </c>
      <c r="E180" s="22">
        <v>1785</v>
      </c>
      <c r="F180" s="22"/>
      <c r="G180" s="22"/>
      <c r="H180" s="22">
        <v>1</v>
      </c>
      <c r="I180" s="22" t="s">
        <v>51</v>
      </c>
      <c r="J180" s="23">
        <f>IF($D180="LSF čempionatas",IFERROR($E180/SUMIFS(Parametrai!$B$2:$B$21,Parametrai!$A$2:$A$21,$A180)*SUMIFS(Parametrai!$E$2:$E$21,Parametrai!$A$2:$A$21,$A180),0),IF($D180="Kitos varžybos, deklaruotos reitingui",IFERROR($F180/MAX($G180,SUMIFS(Parametrai!$F$2:$F$21,Parametrai!$A$2:$A$21,$A180))*IF($H180="",1,$H180),0),IF($D180="Susikertančios su Lietuvos čempionatu",0.95*SUMIFS($J$2:$J$500,$B$2:$B$500,$B180,$A$2:$A$500,$A180-1),IF($D180="Papildomi (R+)",IFERROR(MAX(0,($F180-900)/1000),0),0))))</f>
        <v>0.25101954718042468</v>
      </c>
    </row>
    <row r="181" spans="1:10" ht="15" customHeight="1" x14ac:dyDescent="0.3">
      <c r="A181" s="22">
        <v>2024</v>
      </c>
      <c r="B181" s="22" t="s">
        <v>74</v>
      </c>
      <c r="C181" s="22" t="s">
        <v>53</v>
      </c>
      <c r="D181" s="22" t="s">
        <v>50</v>
      </c>
      <c r="E181" s="22">
        <v>1516</v>
      </c>
      <c r="F181" s="22"/>
      <c r="G181" s="22"/>
      <c r="H181" s="22">
        <v>1</v>
      </c>
      <c r="I181" s="22" t="s">
        <v>51</v>
      </c>
      <c r="J181" s="23">
        <f>IF($D181="LSF čempionatas",IFERROR($E181/SUMIFS(Parametrai!$B$2:$B$21,Parametrai!$A$2:$A$21,$A181)*SUMIFS(Parametrai!$E$2:$E$21,Parametrai!$A$2:$A$21,$A181),0),IF($D181="Kitos varžybos, deklaruotos reitingui",IFERROR($F181/MAX($G181,SUMIFS(Parametrai!$F$2:$F$21,Parametrai!$A$2:$A$21,$A181))*IF($H181="",1,$H181),0),IF($D181="Susikertančios su Lietuvos čempionatu",0.95*SUMIFS($J$2:$J$500,$B$2:$B$500,$B181,$A$2:$A$500,$A181-1),IF($D181="Papildomi (R+)",IFERROR(MAX(0,($F181-900)/1000),0),0))))</f>
        <v>0.21319083110673603</v>
      </c>
    </row>
    <row r="182" spans="1:10" ht="15" customHeight="1" x14ac:dyDescent="0.3">
      <c r="A182" s="22">
        <v>2024</v>
      </c>
      <c r="B182" s="22" t="s">
        <v>113</v>
      </c>
      <c r="C182" s="22" t="s">
        <v>53</v>
      </c>
      <c r="D182" s="22" t="s">
        <v>50</v>
      </c>
      <c r="E182" s="22">
        <v>5823</v>
      </c>
      <c r="F182" s="22"/>
      <c r="G182" s="22"/>
      <c r="H182" s="22">
        <v>1</v>
      </c>
      <c r="I182" s="22" t="s">
        <v>51</v>
      </c>
      <c r="J182" s="23">
        <f>IF($D182="LSF čempionatas",IFERROR($E182/SUMIFS(Parametrai!$B$2:$B$21,Parametrai!$A$2:$A$21,$A182)*SUMIFS(Parametrai!$E$2:$E$21,Parametrai!$A$2:$A$21,$A182),0),IF($D182="Kitos varžybos, deklaruotos reitingui",IFERROR($F182/MAX($G182,SUMIFS(Parametrai!$F$2:$F$21,Parametrai!$A$2:$A$21,$A182))*IF($H182="",1,$H182),0),IF($D182="Susikertančios su Lietuvos čempionatu",0.95*SUMIFS($J$2:$J$500,$B$2:$B$500,$B182,$A$2:$A$500,$A182-1),IF($D182="Papildomi (R+)",IFERROR(MAX(0,($F182-900)/1000),0),0))))</f>
        <v>0.81887216987765432</v>
      </c>
    </row>
    <row r="183" spans="1:10" ht="15" customHeight="1" x14ac:dyDescent="0.3">
      <c r="A183" s="22">
        <v>2024</v>
      </c>
      <c r="B183" s="22" t="s">
        <v>75</v>
      </c>
      <c r="C183" s="22" t="s">
        <v>56</v>
      </c>
      <c r="D183" s="22" t="s">
        <v>50</v>
      </c>
      <c r="E183" s="22">
        <v>5204</v>
      </c>
      <c r="F183" s="22"/>
      <c r="G183" s="22"/>
      <c r="H183" s="22">
        <v>1</v>
      </c>
      <c r="I183" s="22" t="s">
        <v>51</v>
      </c>
      <c r="J183" s="23">
        <f>IF($D183="LSF čempionatas",IFERROR($E183/SUMIFS(Parametrai!$B$2:$B$21,Parametrai!$A$2:$A$21,$A183)*SUMIFS(Parametrai!$E$2:$E$21,Parametrai!$A$2:$A$21,$A183),0),IF($D183="Kitos varžybos, deklaruotos reitingui",IFERROR($F183/MAX($G183,SUMIFS(Parametrai!$F$2:$F$21,Parametrai!$A$2:$A$21,$A183))*IF($H183="",1,$H183),0),IF($D183="Susikertančios su Lietuvos čempionatu",0.95*SUMIFS($J$2:$J$500,$B$2:$B$500,$B183,$A$2:$A$500,$A183-1),IF($D183="Papildomi (R+)",IFERROR(MAX(0,($F183-900)/1000),0),0))))</f>
        <v>0.73182393474898044</v>
      </c>
    </row>
    <row r="184" spans="1:10" ht="15" customHeight="1" x14ac:dyDescent="0.3">
      <c r="A184" s="22">
        <v>2025</v>
      </c>
      <c r="B184" s="22" t="s">
        <v>48</v>
      </c>
      <c r="C184" s="22" t="s">
        <v>49</v>
      </c>
      <c r="D184" s="22" t="s">
        <v>50</v>
      </c>
      <c r="E184" s="22">
        <v>4116</v>
      </c>
      <c r="F184" s="22"/>
      <c r="G184" s="22"/>
      <c r="H184" s="22">
        <v>1</v>
      </c>
      <c r="I184" s="22" t="s">
        <v>51</v>
      </c>
      <c r="J184" s="23">
        <f>IF($D184="LSF čempionatas",IFERROR($E184/SUMIFS(Parametrai!$B$2:$B$21,Parametrai!$A$2:$A$21,$A184)*SUMIFS(Parametrai!$E$2:$E$21,Parametrai!$A$2:$A$21,$A184),0),IF($D184="Kitos varžybos, deklaruotos reitingui",IFERROR($F184/MAX($G184,SUMIFS(Parametrai!$F$2:$F$21,Parametrai!$A$2:$A$21,$A184))*IF($H184="",1,$H184),0),IF($D184="Susikertančios su Lietuvos čempionatu",0.95*SUMIFS($J$2:$J$500,$B$2:$B$500,$B184,$A$2:$A$500,$A184-1),IF($D184="Papildomi (R+)",IFERROR(MAX(0,($F184-900)/1000),0),0))))</f>
        <v>0.93016949152542372</v>
      </c>
    </row>
    <row r="185" spans="1:10" ht="15" customHeight="1" x14ac:dyDescent="0.3">
      <c r="A185" s="22">
        <v>2025</v>
      </c>
      <c r="B185" s="22" t="s">
        <v>107</v>
      </c>
      <c r="C185" s="22" t="s">
        <v>53</v>
      </c>
      <c r="D185" s="22" t="s">
        <v>50</v>
      </c>
      <c r="E185" s="22">
        <v>2621</v>
      </c>
      <c r="F185" s="22"/>
      <c r="G185" s="22"/>
      <c r="H185" s="22">
        <v>1</v>
      </c>
      <c r="I185" s="22" t="s">
        <v>51</v>
      </c>
      <c r="J185" s="23">
        <f>IF($D185="LSF čempionatas",IFERROR($E185/SUMIFS(Parametrai!$B$2:$B$21,Parametrai!$A$2:$A$21,$A185)*SUMIFS(Parametrai!$E$2:$E$21,Parametrai!$A$2:$A$21,$A185),0),IF($D185="Kitos varžybos, deklaruotos reitingui",IFERROR($F185/MAX($G185,SUMIFS(Parametrai!$F$2:$F$21,Parametrai!$A$2:$A$21,$A185))*IF($H185="",1,$H185),0),IF($D185="Susikertančios su Lietuvos čempionatu",0.95*SUMIFS($J$2:$J$500,$B$2:$B$500,$B185,$A$2:$A$500,$A185-1),IF($D185="Papildomi (R+)",IFERROR(MAX(0,($F185-900)/1000),0),0))))</f>
        <v>0.59231638418079091</v>
      </c>
    </row>
    <row r="186" spans="1:10" ht="15" customHeight="1" x14ac:dyDescent="0.3">
      <c r="A186" s="22">
        <v>2025</v>
      </c>
      <c r="B186" s="22" t="s">
        <v>54</v>
      </c>
      <c r="C186" s="22" t="s">
        <v>49</v>
      </c>
      <c r="D186" s="22" t="s">
        <v>50</v>
      </c>
      <c r="E186" s="22">
        <v>3302</v>
      </c>
      <c r="F186" s="22"/>
      <c r="G186" s="22"/>
      <c r="H186" s="22">
        <v>1</v>
      </c>
      <c r="I186" s="22" t="s">
        <v>51</v>
      </c>
      <c r="J186" s="23">
        <f>IF($D186="LSF čempionatas",IFERROR($E186/SUMIFS(Parametrai!$B$2:$B$21,Parametrai!$A$2:$A$21,$A186)*SUMIFS(Parametrai!$E$2:$E$21,Parametrai!$A$2:$A$21,$A186),0),IF($D186="Kitos varžybos, deklaruotos reitingui",IFERROR($F186/MAX($G186,SUMIFS(Parametrai!$F$2:$F$21,Parametrai!$A$2:$A$21,$A186))*IF($H186="",1,$H186),0),IF($D186="Susikertančios su Lietuvos čempionatu",0.95*SUMIFS($J$2:$J$500,$B$2:$B$500,$B186,$A$2:$A$500,$A186-1),IF($D186="Papildomi (R+)",IFERROR(MAX(0,($F186-900)/1000),0),0))))</f>
        <v>0.74621468926553669</v>
      </c>
    </row>
    <row r="187" spans="1:10" ht="15" customHeight="1" x14ac:dyDescent="0.3">
      <c r="A187" s="22">
        <v>2025</v>
      </c>
      <c r="B187" s="22" t="s">
        <v>55</v>
      </c>
      <c r="C187" s="22" t="s">
        <v>56</v>
      </c>
      <c r="D187" s="22" t="s">
        <v>50</v>
      </c>
      <c r="E187" s="22">
        <v>2523</v>
      </c>
      <c r="F187" s="22"/>
      <c r="G187" s="22"/>
      <c r="H187" s="22">
        <v>1</v>
      </c>
      <c r="I187" s="22" t="s">
        <v>51</v>
      </c>
      <c r="J187" s="23">
        <f>IF($D187="LSF čempionatas",IFERROR($E187/SUMIFS(Parametrai!$B$2:$B$21,Parametrai!$A$2:$A$21,$A187)*SUMIFS(Parametrai!$E$2:$E$21,Parametrai!$A$2:$A$21,$A187),0),IF($D187="Kitos varžybos, deklaruotos reitingui",IFERROR($F187/MAX($G187,SUMIFS(Parametrai!$F$2:$F$21,Parametrai!$A$2:$A$21,$A187))*IF($H187="",1,$H187),0),IF($D187="Susikertančios su Lietuvos čempionatu",0.95*SUMIFS($J$2:$J$500,$B$2:$B$500,$B187,$A$2:$A$500,$A187-1),IF($D187="Papildomi (R+)",IFERROR(MAX(0,($F187-900)/1000),0),0))))</f>
        <v>0.57016949152542373</v>
      </c>
    </row>
    <row r="188" spans="1:10" ht="15" customHeight="1" x14ac:dyDescent="0.3">
      <c r="A188" s="22">
        <v>2025</v>
      </c>
      <c r="B188" s="22" t="s">
        <v>62</v>
      </c>
      <c r="C188" s="22" t="s">
        <v>56</v>
      </c>
      <c r="D188" s="22" t="s">
        <v>50</v>
      </c>
      <c r="E188" s="22">
        <v>4204</v>
      </c>
      <c r="F188" s="22"/>
      <c r="G188" s="22"/>
      <c r="H188" s="22">
        <v>1</v>
      </c>
      <c r="I188" s="22" t="s">
        <v>51</v>
      </c>
      <c r="J188" s="23">
        <f>IF($D188="LSF čempionatas",IFERROR($E188/SUMIFS(Parametrai!$B$2:$B$21,Parametrai!$A$2:$A$21,$A188)*SUMIFS(Parametrai!$E$2:$E$21,Parametrai!$A$2:$A$21,$A188),0),IF($D188="Kitos varžybos, deklaruotos reitingui",IFERROR($F188/MAX($G188,SUMIFS(Parametrai!$F$2:$F$21,Parametrai!$A$2:$A$21,$A188))*IF($H188="",1,$H188),0),IF($D188="Susikertančios su Lietuvos čempionatu",0.95*SUMIFS($J$2:$J$500,$B$2:$B$500,$B188,$A$2:$A$500,$A188-1),IF($D188="Papildomi (R+)",IFERROR(MAX(0,($F188-900)/1000),0),0))))</f>
        <v>0.95005649717514129</v>
      </c>
    </row>
    <row r="189" spans="1:10" ht="15" customHeight="1" x14ac:dyDescent="0.3">
      <c r="A189" s="22">
        <v>2025</v>
      </c>
      <c r="B189" s="22" t="s">
        <v>64</v>
      </c>
      <c r="C189" s="22" t="s">
        <v>49</v>
      </c>
      <c r="D189" s="22" t="s">
        <v>50</v>
      </c>
      <c r="E189" s="22">
        <v>4205</v>
      </c>
      <c r="F189" s="22"/>
      <c r="G189" s="22"/>
      <c r="H189" s="22">
        <v>1</v>
      </c>
      <c r="I189" s="22" t="s">
        <v>51</v>
      </c>
      <c r="J189" s="23">
        <f>IF($D189="LSF čempionatas",IFERROR($E189/SUMIFS(Parametrai!$B$2:$B$21,Parametrai!$A$2:$A$21,$A189)*SUMIFS(Parametrai!$E$2:$E$21,Parametrai!$A$2:$A$21,$A189),0),IF($D189="Kitos varžybos, deklaruotos reitingui",IFERROR($F189/MAX($G189,SUMIFS(Parametrai!$F$2:$F$21,Parametrai!$A$2:$A$21,$A189))*IF($H189="",1,$H189),0),IF($D189="Susikertančios su Lietuvos čempionatu",0.95*SUMIFS($J$2:$J$500,$B$2:$B$500,$B189,$A$2:$A$500,$A189-1),IF($D189="Papildomi (R+)",IFERROR(MAX(0,($F189-900)/1000),0),0))))</f>
        <v>0.95028248587570618</v>
      </c>
    </row>
    <row r="190" spans="1:10" ht="15" customHeight="1" x14ac:dyDescent="0.3">
      <c r="A190" s="22">
        <v>2025</v>
      </c>
      <c r="B190" s="22" t="s">
        <v>78</v>
      </c>
      <c r="C190" s="22" t="s">
        <v>53</v>
      </c>
      <c r="D190" s="22" t="s">
        <v>110</v>
      </c>
      <c r="E190" s="22"/>
      <c r="F190" s="22">
        <v>914.09</v>
      </c>
      <c r="G190" s="22">
        <v>980</v>
      </c>
      <c r="H190" s="22">
        <v>1</v>
      </c>
      <c r="I190" s="22" t="s">
        <v>114</v>
      </c>
      <c r="J190" s="23">
        <f>IF($D190="LSF čempionatas",IFERROR($E190/SUMIFS(Parametrai!$B$2:$B$21,Parametrai!$A$2:$A$21,$A190)*SUMIFS(Parametrai!$E$2:$E$21,Parametrai!$A$2:$A$21,$A190),0),IF($D190="Kitos varžybos, deklaruotos reitingui",IFERROR($F190/MAX($G190,SUMIFS(Parametrai!$F$2:$F$21,Parametrai!$A$2:$A$21,$A190))*IF($H190="",1,$H190),0),IF($D190="Susikertančios su Lietuvos čempionatu",0.95*SUMIFS($J$2:$J$500,$B$2:$B$500,$B190,$A$2:$A$500,$A190-1),IF($D190="Papildomi (R+)",IFERROR(MAX(0,($F190-900)/1000),0),0))))</f>
        <v>0.93274489795918369</v>
      </c>
    </row>
    <row r="191" spans="1:10" ht="15" customHeight="1" x14ac:dyDescent="0.3">
      <c r="A191" s="22">
        <v>2025</v>
      </c>
      <c r="B191" s="22" t="s">
        <v>78</v>
      </c>
      <c r="C191" s="22" t="s">
        <v>53</v>
      </c>
      <c r="D191" s="22" t="s">
        <v>99</v>
      </c>
      <c r="E191" s="22"/>
      <c r="F191" s="22">
        <v>914.09</v>
      </c>
      <c r="G191" s="22"/>
      <c r="H191" s="22"/>
      <c r="I191" s="22" t="s">
        <v>115</v>
      </c>
      <c r="J191" s="23">
        <f>IF($D191="LSF čempionatas",IFERROR($E191/SUMIFS(Parametrai!$B$2:$B$21,Parametrai!$A$2:$A$21,$A191)*SUMIFS(Parametrai!$E$2:$E$21,Parametrai!$A$2:$A$21,$A191),0),IF($D191="Kitos varžybos, deklaruotos reitingui",IFERROR($F191/MAX($G191,SUMIFS(Parametrai!$F$2:$F$21,Parametrai!$A$2:$A$21,$A191))*IF($H191="",1,$H191),0),IF($D191="Susikertančios su Lietuvos čempionatu",0.95*SUMIFS($J$2:$J$500,$B$2:$B$500,$B191,$A$2:$A$500,$A191-1),IF($D191="Papildomi (R+)",IFERROR(MAX(0,($F191-900)/1000),0),0))))</f>
        <v>1.4090000000000031E-2</v>
      </c>
    </row>
    <row r="192" spans="1:10" ht="15" customHeight="1" x14ac:dyDescent="0.3">
      <c r="A192" s="22">
        <v>2025</v>
      </c>
      <c r="B192" s="22" t="s">
        <v>86</v>
      </c>
      <c r="C192" s="22" t="s">
        <v>49</v>
      </c>
      <c r="D192" s="22" t="s">
        <v>50</v>
      </c>
      <c r="E192" s="22">
        <v>4425</v>
      </c>
      <c r="F192" s="22"/>
      <c r="G192" s="22"/>
      <c r="H192" s="22">
        <v>1</v>
      </c>
      <c r="I192" s="22" t="s">
        <v>51</v>
      </c>
      <c r="J192" s="23">
        <f>IF($D192="LSF čempionatas",IFERROR($E192/SUMIFS(Parametrai!$B$2:$B$21,Parametrai!$A$2:$A$21,$A192)*SUMIFS(Parametrai!$E$2:$E$21,Parametrai!$A$2:$A$21,$A192),0),IF($D192="Kitos varžybos, deklaruotos reitingui",IFERROR($F192/MAX($G192,SUMIFS(Parametrai!$F$2:$F$21,Parametrai!$A$2:$A$21,$A192))*IF($H192="",1,$H192),0),IF($D192="Susikertančios su Lietuvos čempionatu",0.95*SUMIFS($J$2:$J$500,$B$2:$B$500,$B192,$A$2:$A$500,$A192-1),IF($D192="Papildomi (R+)",IFERROR(MAX(0,($F192-900)/1000),0),0))))</f>
        <v>1</v>
      </c>
    </row>
    <row r="193" spans="1:10" ht="15" customHeight="1" x14ac:dyDescent="0.3">
      <c r="A193" s="22">
        <v>2025</v>
      </c>
      <c r="B193" s="22" t="s">
        <v>79</v>
      </c>
      <c r="C193" s="22" t="s">
        <v>49</v>
      </c>
      <c r="D193" s="22" t="s">
        <v>50</v>
      </c>
      <c r="E193" s="22">
        <v>3410</v>
      </c>
      <c r="F193" s="22"/>
      <c r="G193" s="22"/>
      <c r="H193" s="22">
        <v>1</v>
      </c>
      <c r="I193" s="22" t="s">
        <v>51</v>
      </c>
      <c r="J193" s="23">
        <f>IF($D193="LSF čempionatas",IFERROR($E193/SUMIFS(Parametrai!$B$2:$B$21,Parametrai!$A$2:$A$21,$A193)*SUMIFS(Parametrai!$E$2:$E$21,Parametrai!$A$2:$A$21,$A193),0),IF($D193="Kitos varžybos, deklaruotos reitingui",IFERROR($F193/MAX($G193,SUMIFS(Parametrai!$F$2:$F$21,Parametrai!$A$2:$A$21,$A193))*IF($H193="",1,$H193),0),IF($D193="Susikertančios su Lietuvos čempionatu",0.95*SUMIFS($J$2:$J$500,$B$2:$B$500,$B193,$A$2:$A$500,$A193-1),IF($D193="Papildomi (R+)",IFERROR(MAX(0,($F193-900)/1000),0),0))))</f>
        <v>0.7706214689265537</v>
      </c>
    </row>
    <row r="194" spans="1:10" ht="15" customHeight="1" x14ac:dyDescent="0.3">
      <c r="A194" s="22">
        <v>2025</v>
      </c>
      <c r="B194" s="22" t="s">
        <v>89</v>
      </c>
      <c r="C194" s="22" t="s">
        <v>53</v>
      </c>
      <c r="D194" s="22" t="s">
        <v>50</v>
      </c>
      <c r="E194" s="22">
        <v>2989</v>
      </c>
      <c r="F194" s="22"/>
      <c r="G194" s="22"/>
      <c r="H194" s="22">
        <v>1</v>
      </c>
      <c r="I194" s="22" t="s">
        <v>51</v>
      </c>
      <c r="J194" s="23">
        <f>IF($D194="LSF čempionatas",IFERROR($E194/SUMIFS(Parametrai!$B$2:$B$21,Parametrai!$A$2:$A$21,$A194)*SUMIFS(Parametrai!$E$2:$E$21,Parametrai!$A$2:$A$21,$A194),0),IF($D194="Kitos varžybos, deklaruotos reitingui",IFERROR($F194/MAX($G194,SUMIFS(Parametrai!$F$2:$F$21,Parametrai!$A$2:$A$21,$A194))*IF($H194="",1,$H194),0),IF($D194="Susikertančios su Lietuvos čempionatu",0.95*SUMIFS($J$2:$J$500,$B$2:$B$500,$B194,$A$2:$A$500,$A194-1),IF($D194="Papildomi (R+)",IFERROR(MAX(0,($F194-900)/1000),0),0))))</f>
        <v>0.67548022598870061</v>
      </c>
    </row>
    <row r="195" spans="1:10" ht="15" customHeight="1" x14ac:dyDescent="0.3">
      <c r="A195" s="22">
        <v>2025</v>
      </c>
      <c r="B195" s="22" t="s">
        <v>83</v>
      </c>
      <c r="C195" s="22" t="s">
        <v>56</v>
      </c>
      <c r="D195" s="22" t="s">
        <v>50</v>
      </c>
      <c r="E195" s="22">
        <v>3825</v>
      </c>
      <c r="F195" s="22"/>
      <c r="G195" s="22"/>
      <c r="H195" s="22">
        <v>1</v>
      </c>
      <c r="I195" s="22" t="s">
        <v>51</v>
      </c>
      <c r="J195" s="23">
        <f>IF($D195="LSF čempionatas",IFERROR($E195/SUMIFS(Parametrai!$B$2:$B$21,Parametrai!$A$2:$A$21,$A195)*SUMIFS(Parametrai!$E$2:$E$21,Parametrai!$A$2:$A$21,$A195),0),IF($D195="Kitos varžybos, deklaruotos reitingui",IFERROR($F195/MAX($G195,SUMIFS(Parametrai!$F$2:$F$21,Parametrai!$A$2:$A$21,$A195))*IF($H195="",1,$H195),0),IF($D195="Susikertančios su Lietuvos čempionatu",0.95*SUMIFS($J$2:$J$500,$B$2:$B$500,$B195,$A$2:$A$500,$A195-1),IF($D195="Papildomi (R+)",IFERROR(MAX(0,($F195-900)/1000),0),0))))</f>
        <v>0.86440677966101698</v>
      </c>
    </row>
    <row r="196" spans="1:10" ht="15" customHeight="1" x14ac:dyDescent="0.3">
      <c r="A196" s="22">
        <v>2025</v>
      </c>
      <c r="B196" s="22" t="s">
        <v>72</v>
      </c>
      <c r="C196" s="22" t="s">
        <v>53</v>
      </c>
      <c r="D196" s="22" t="s">
        <v>50</v>
      </c>
      <c r="E196" s="22">
        <v>3698</v>
      </c>
      <c r="F196" s="22"/>
      <c r="G196" s="22"/>
      <c r="H196" s="22">
        <v>1</v>
      </c>
      <c r="I196" s="22" t="s">
        <v>51</v>
      </c>
      <c r="J196" s="23">
        <f>IF($D196="LSF čempionatas",IFERROR($E196/SUMIFS(Parametrai!$B$2:$B$21,Parametrai!$A$2:$A$21,$A196)*SUMIFS(Parametrai!$E$2:$E$21,Parametrai!$A$2:$A$21,$A196),0),IF($D196="Kitos varžybos, deklaruotos reitingui",IFERROR($F196/MAX($G196,SUMIFS(Parametrai!$F$2:$F$21,Parametrai!$A$2:$A$21,$A196))*IF($H196="",1,$H196),0),IF($D196="Susikertančios su Lietuvos čempionatu",0.95*SUMIFS($J$2:$J$500,$B$2:$B$500,$B196,$A$2:$A$500,$A196-1),IF($D196="Papildomi (R+)",IFERROR(MAX(0,($F196-900)/1000),0),0))))</f>
        <v>0.83570621468926554</v>
      </c>
    </row>
    <row r="197" spans="1:10" ht="15" customHeight="1" x14ac:dyDescent="0.3">
      <c r="A197" s="22">
        <v>2025</v>
      </c>
      <c r="B197" s="22" t="s">
        <v>113</v>
      </c>
      <c r="C197" s="22" t="s">
        <v>53</v>
      </c>
      <c r="D197" s="22" t="s">
        <v>50</v>
      </c>
      <c r="E197" s="22">
        <v>3932</v>
      </c>
      <c r="F197" s="22"/>
      <c r="G197" s="22"/>
      <c r="H197" s="22">
        <v>1</v>
      </c>
      <c r="I197" s="22" t="s">
        <v>51</v>
      </c>
      <c r="J197" s="23">
        <f>IF($D197="LSF čempionatas",IFERROR($E197/SUMIFS(Parametrai!$B$2:$B$21,Parametrai!$A$2:$A$21,$A197)*SUMIFS(Parametrai!$E$2:$E$21,Parametrai!$A$2:$A$21,$A197),0),IF($D197="Kitos varžybos, deklaruotos reitingui",IFERROR($F197/MAX($G197,SUMIFS(Parametrai!$F$2:$F$21,Parametrai!$A$2:$A$21,$A197))*IF($H197="",1,$H197),0),IF($D197="Susikertančios su Lietuvos čempionatu",0.95*SUMIFS($J$2:$J$500,$B$2:$B$500,$B197,$A$2:$A$500,$A197-1),IF($D197="Papildomi (R+)",IFERROR(MAX(0,($F197-900)/1000),0),0))))</f>
        <v>0.88858757062146898</v>
      </c>
    </row>
    <row r="198" spans="1:10" ht="15" customHeight="1" x14ac:dyDescent="0.3">
      <c r="A198" s="22">
        <v>2025</v>
      </c>
      <c r="B198" s="22" t="s">
        <v>75</v>
      </c>
      <c r="C198" s="22" t="s">
        <v>56</v>
      </c>
      <c r="D198" s="22" t="s">
        <v>50</v>
      </c>
      <c r="E198" s="22">
        <v>3825</v>
      </c>
      <c r="F198" s="22"/>
      <c r="G198" s="22"/>
      <c r="H198" s="22">
        <v>1</v>
      </c>
      <c r="I198" s="22" t="s">
        <v>51</v>
      </c>
      <c r="J198" s="23">
        <f>IF($D198="LSF čempionatas",IFERROR($E198/SUMIFS(Parametrai!$B$2:$B$21,Parametrai!$A$2:$A$21,$A198)*SUMIFS(Parametrai!$E$2:$E$21,Parametrai!$A$2:$A$21,$A198),0),IF($D198="Kitos varžybos, deklaruotos reitingui",IFERROR($F198/MAX($G198,SUMIFS(Parametrai!$F$2:$F$21,Parametrai!$A$2:$A$21,$A198))*IF($H198="",1,$H198),0),IF($D198="Susikertančios su Lietuvos čempionatu",0.95*SUMIFS($J$2:$J$500,$B$2:$B$500,$B198,$A$2:$A$500,$A198-1),IF($D198="Papildomi (R+)",IFERROR(MAX(0,($F198-900)/1000),0),0))))</f>
        <v>0.86440677966101698</v>
      </c>
    </row>
    <row r="199" spans="1:10" ht="15" customHeight="1" x14ac:dyDescent="0.3">
      <c r="A199" s="22">
        <v>2026</v>
      </c>
      <c r="B199" s="22" t="s">
        <v>78</v>
      </c>
      <c r="C199" s="22" t="s">
        <v>116</v>
      </c>
      <c r="D199" s="22" t="s">
        <v>50</v>
      </c>
      <c r="E199">
        <v>8257</v>
      </c>
      <c r="I199" s="22" t="s">
        <v>51</v>
      </c>
      <c r="J199" s="23">
        <f>IF($D199="LSF čempionatas",IFERROR($E199/SUMIFS(Parametrai!$B$2:$B$21,Parametrai!$A$2:$A$21,$A199)*SUMIFS(Parametrai!$E$2:$E$21,Parametrai!$A$2:$A$21,$A199),0),IF($D199="Kitos varžybos, deklaruotos reitingui",IFERROR($F199/MAX($G199,SUMIFS(Parametrai!$F$2:$F$21,Parametrai!$A$2:$A$21,$A199))*IF($H199="",1,$H199),0),IF($D199="Susikertančios su Lietuvos čempionatu",0.95*SUMIFS($J$2:$J$500,$B$2:$B$500,$B199,$A$2:$A$500,$A199-1),IF($D199="Papildomi (R+)",IFERROR(MAX(0,($F199-900)/1000),0),0))))</f>
        <v>1</v>
      </c>
    </row>
    <row r="200" spans="1:10" ht="15" customHeight="1" x14ac:dyDescent="0.3">
      <c r="A200" s="22">
        <v>2026</v>
      </c>
      <c r="B200" t="s">
        <v>64</v>
      </c>
      <c r="C200" t="s">
        <v>117</v>
      </c>
      <c r="D200" s="22" t="s">
        <v>50</v>
      </c>
      <c r="E200">
        <v>7522</v>
      </c>
      <c r="I200" s="22" t="s">
        <v>51</v>
      </c>
      <c r="J200" s="23">
        <f>IF($D200="LSF čempionatas",IFERROR($E200/SUMIFS(Parametrai!$B$2:$B$21,Parametrai!$A$2:$A$21,$A200)*SUMIFS(Parametrai!$E$2:$E$21,Parametrai!$A$2:$A$21,$A200),0),IF($D200="Kitos varžybos, deklaruotos reitingui",IFERROR($F200/MAX($G200,SUMIFS(Parametrai!$F$2:$F$21,Parametrai!$A$2:$A$21,$A200))*IF($H200="",1,$H200),0),IF($D200="Susikertančios su Lietuvos čempionatu",0.95*SUMIFS($J$2:$J$500,$B$2:$B$500,$B200,$A$2:$A$500,$A200-1),IF($D200="Papildomi (R+)",IFERROR(MAX(0,($F200-900)/1000),0),0))))</f>
        <v>0.91098461911105733</v>
      </c>
    </row>
    <row r="201" spans="1:10" ht="15" customHeight="1" x14ac:dyDescent="0.3">
      <c r="A201" s="22">
        <v>2026</v>
      </c>
      <c r="B201" t="s">
        <v>113</v>
      </c>
      <c r="C201" t="s">
        <v>116</v>
      </c>
      <c r="D201" s="22" t="s">
        <v>50</v>
      </c>
      <c r="E201">
        <v>7502</v>
      </c>
      <c r="I201" s="22" t="s">
        <v>51</v>
      </c>
      <c r="J201" s="23">
        <f>IF($D201="LSF čempionatas",IFERROR($E201/SUMIFS(Parametrai!$B$2:$B$21,Parametrai!$A$2:$A$21,$A201)*SUMIFS(Parametrai!$E$2:$E$21,Parametrai!$A$2:$A$21,$A201),0),IF($D201="Kitos varžybos, deklaruotos reitingui",IFERROR($F201/MAX($G201,SUMIFS(Parametrai!$F$2:$F$21,Parametrai!$A$2:$A$21,$A201))*IF($H201="",1,$H201),0),IF($D201="Susikertančios su Lietuvos čempionatu",0.95*SUMIFS($J$2:$J$500,$B$2:$B$500,$B201,$A$2:$A$500,$A201-1),IF($D201="Papildomi (R+)",IFERROR(MAX(0,($F201-900)/1000),0),0))))</f>
        <v>0.90856243187598407</v>
      </c>
    </row>
    <row r="202" spans="1:10" ht="15" customHeight="1" x14ac:dyDescent="0.3">
      <c r="A202" s="22">
        <v>2026</v>
      </c>
      <c r="B202" t="s">
        <v>48</v>
      </c>
      <c r="C202" t="s">
        <v>117</v>
      </c>
      <c r="D202" s="22" t="s">
        <v>50</v>
      </c>
      <c r="E202">
        <v>7403</v>
      </c>
      <c r="I202" s="22" t="s">
        <v>51</v>
      </c>
      <c r="J202" s="23">
        <f>IF($D202="LSF čempionatas",IFERROR($E202/SUMIFS(Parametrai!$B$2:$B$21,Parametrai!$A$2:$A$21,$A202)*SUMIFS(Parametrai!$E$2:$E$21,Parametrai!$A$2:$A$21,$A202),0),IF($D202="Kitos varžybos, deklaruotos reitingui",IFERROR($F202/MAX($G202,SUMIFS(Parametrai!$F$2:$F$21,Parametrai!$A$2:$A$21,$A202))*IF($H202="",1,$H202),0),IF($D202="Susikertančios su Lietuvos čempionatu",0.95*SUMIFS($J$2:$J$500,$B$2:$B$500,$B202,$A$2:$A$500,$A202-1),IF($D202="Papildomi (R+)",IFERROR(MAX(0,($F202-900)/1000),0),0))))</f>
        <v>0.89657260506237135</v>
      </c>
    </row>
    <row r="203" spans="1:10" ht="15" customHeight="1" x14ac:dyDescent="0.3">
      <c r="A203" s="22">
        <v>2026</v>
      </c>
      <c r="B203" t="s">
        <v>72</v>
      </c>
      <c r="C203" t="s">
        <v>116</v>
      </c>
      <c r="D203" s="22" t="s">
        <v>50</v>
      </c>
      <c r="E203">
        <v>6926</v>
      </c>
      <c r="I203" s="22" t="s">
        <v>51</v>
      </c>
      <c r="J203" s="23">
        <f>IF($D203="LSF čempionatas",IFERROR($E203/SUMIFS(Parametrai!$B$2:$B$21,Parametrai!$A$2:$A$21,$A203)*SUMIFS(Parametrai!$E$2:$E$21,Parametrai!$A$2:$A$21,$A203),0),IF($D203="Kitos varžybos, deklaruotos reitingui",IFERROR($F203/MAX($G203,SUMIFS(Parametrai!$F$2:$F$21,Parametrai!$A$2:$A$21,$A203))*IF($H203="",1,$H203),0),IF($D203="Susikertančios su Lietuvos čempionatu",0.95*SUMIFS($J$2:$J$500,$B$2:$B$500,$B203,$A$2:$A$500,$A203-1),IF($D203="Papildomi (R+)",IFERROR(MAX(0,($F203-900)/1000),0),0))))</f>
        <v>0.83880343950587377</v>
      </c>
    </row>
    <row r="204" spans="1:10" ht="15" customHeight="1" x14ac:dyDescent="0.3">
      <c r="A204" s="22">
        <v>2026</v>
      </c>
      <c r="B204" t="s">
        <v>102</v>
      </c>
      <c r="C204" t="s">
        <v>118</v>
      </c>
      <c r="D204" s="22" t="s">
        <v>50</v>
      </c>
      <c r="E204">
        <v>6507</v>
      </c>
      <c r="I204" s="22" t="s">
        <v>51</v>
      </c>
      <c r="J204" s="23">
        <f>IF($D204="LSF čempionatas",IFERROR($E204/SUMIFS(Parametrai!$B$2:$B$21,Parametrai!$A$2:$A$21,$A204)*SUMIFS(Parametrai!$E$2:$E$21,Parametrai!$A$2:$A$21,$A204),0),IF($D204="Kitos varžybos, deklaruotos reitingui",IFERROR($F204/MAX($G204,SUMIFS(Parametrai!$F$2:$F$21,Parametrai!$A$2:$A$21,$A204))*IF($H204="",1,$H204),0),IF($D204="Susikertančios su Lietuvos čempionatu",0.95*SUMIFS($J$2:$J$500,$B$2:$B$500,$B204,$A$2:$A$500,$A204-1),IF($D204="Papildomi (R+)",IFERROR(MAX(0,($F204-900)/1000),0),0))))</f>
        <v>0.78805861693108881</v>
      </c>
    </row>
    <row r="205" spans="1:10" ht="15" customHeight="1" x14ac:dyDescent="0.3">
      <c r="A205" s="22">
        <v>2026</v>
      </c>
      <c r="B205" t="s">
        <v>86</v>
      </c>
      <c r="C205" t="s">
        <v>117</v>
      </c>
      <c r="D205" s="22" t="s">
        <v>50</v>
      </c>
      <c r="E205">
        <v>6357</v>
      </c>
      <c r="I205" s="22" t="s">
        <v>51</v>
      </c>
      <c r="J205" s="23">
        <f>IF($D205="LSF čempionatas",IFERROR($E205/SUMIFS(Parametrai!$B$2:$B$21,Parametrai!$A$2:$A$21,$A205)*SUMIFS(Parametrai!$E$2:$E$21,Parametrai!$A$2:$A$21,$A205),0),IF($D205="Kitos varžybos, deklaruotos reitingui",IFERROR($F205/MAX($G205,SUMIFS(Parametrai!$F$2:$F$21,Parametrai!$A$2:$A$21,$A205))*IF($H205="",1,$H205),0),IF($D205="Susikertančios su Lietuvos čempionatu",0.95*SUMIFS($J$2:$J$500,$B$2:$B$500,$B205,$A$2:$A$500,$A205-1),IF($D205="Papildomi (R+)",IFERROR(MAX(0,($F205-900)/1000),0),0))))</f>
        <v>0.7698922126680392</v>
      </c>
    </row>
    <row r="206" spans="1:10" ht="15" customHeight="1" x14ac:dyDescent="0.3">
      <c r="A206" s="22">
        <v>2026</v>
      </c>
      <c r="B206" t="s">
        <v>57</v>
      </c>
      <c r="C206" t="s">
        <v>116</v>
      </c>
      <c r="D206" s="22" t="s">
        <v>50</v>
      </c>
      <c r="E206">
        <v>6140</v>
      </c>
      <c r="I206" s="22" t="s">
        <v>51</v>
      </c>
      <c r="J206" s="23">
        <f>IF($D206="LSF čempionatas",IFERROR($E206/SUMIFS(Parametrai!$B$2:$B$21,Parametrai!$A$2:$A$21,$A206)*SUMIFS(Parametrai!$E$2:$E$21,Parametrai!$A$2:$A$21,$A206),0),IF($D206="Kitos varžybos, deklaruotos reitingui",IFERROR($F206/MAX($G206,SUMIFS(Parametrai!$F$2:$F$21,Parametrai!$A$2:$A$21,$A206))*IF($H206="",1,$H206),0),IF($D206="Susikertančios su Lietuvos čempionatu",0.95*SUMIFS($J$2:$J$500,$B$2:$B$500,$B206,$A$2:$A$500,$A206-1),IF($D206="Papildomi (R+)",IFERROR(MAX(0,($F206-900)/1000),0),0))))</f>
        <v>0.7436114811674942</v>
      </c>
    </row>
    <row r="207" spans="1:10" ht="15" customHeight="1" x14ac:dyDescent="0.3">
      <c r="A207" s="22">
        <v>2026</v>
      </c>
      <c r="B207" t="s">
        <v>81</v>
      </c>
      <c r="C207" t="s">
        <v>117</v>
      </c>
      <c r="D207" s="22" t="s">
        <v>50</v>
      </c>
      <c r="E207">
        <v>5839</v>
      </c>
      <c r="I207" s="22" t="s">
        <v>51</v>
      </c>
      <c r="J207" s="23">
        <f>IF($D207="LSF čempionatas",IFERROR($E207/SUMIFS(Parametrai!$B$2:$B$21,Parametrai!$A$2:$A$21,$A207)*SUMIFS(Parametrai!$E$2:$E$21,Parametrai!$A$2:$A$21,$A207),0),IF($D207="Kitos varžybos, deklaruotos reitingui",IFERROR($F207/MAX($G207,SUMIFS(Parametrai!$F$2:$F$21,Parametrai!$A$2:$A$21,$A207))*IF($H207="",1,$H207),0),IF($D207="Susikertančios su Lietuvos čempionatu",0.95*SUMIFS($J$2:$J$500,$B$2:$B$500,$B207,$A$2:$A$500,$A207-1),IF($D207="Papildomi (R+)",IFERROR(MAX(0,($F207-900)/1000),0),0))))</f>
        <v>0.70715756327964152</v>
      </c>
    </row>
    <row r="208" spans="1:10" ht="15" customHeight="1" x14ac:dyDescent="0.3">
      <c r="A208" s="22">
        <v>2026</v>
      </c>
      <c r="B208" t="s">
        <v>54</v>
      </c>
      <c r="C208" t="s">
        <v>117</v>
      </c>
      <c r="D208" s="22" t="s">
        <v>50</v>
      </c>
      <c r="E208">
        <v>5813</v>
      </c>
      <c r="I208" s="22" t="s">
        <v>51</v>
      </c>
      <c r="J208" s="23">
        <f>IF($D208="LSF čempionatas",IFERROR($E208/SUMIFS(Parametrai!$B$2:$B$21,Parametrai!$A$2:$A$21,$A208)*SUMIFS(Parametrai!$E$2:$E$21,Parametrai!$A$2:$A$21,$A208),0),IF($D208="Kitos varžybos, deklaruotos reitingui",IFERROR($F208/MAX($G208,SUMIFS(Parametrai!$F$2:$F$21,Parametrai!$A$2:$A$21,$A208))*IF($H208="",1,$H208),0),IF($D208="Susikertančios su Lietuvos čempionatu",0.95*SUMIFS($J$2:$J$500,$B$2:$B$500,$B208,$A$2:$A$500,$A208-1),IF($D208="Papildomi (R+)",IFERROR(MAX(0,($F208-900)/1000),0),0))))</f>
        <v>0.70400871987404623</v>
      </c>
    </row>
    <row r="209" spans="1:10" ht="15" customHeight="1" x14ac:dyDescent="0.3">
      <c r="A209" s="22">
        <v>2026</v>
      </c>
      <c r="B209" t="s">
        <v>62</v>
      </c>
      <c r="C209" t="s">
        <v>56</v>
      </c>
      <c r="D209" s="22" t="s">
        <v>50</v>
      </c>
      <c r="E209">
        <v>5621</v>
      </c>
      <c r="I209" s="22" t="s">
        <v>51</v>
      </c>
      <c r="J209" s="23">
        <f>IF($D209="LSF čempionatas",IFERROR($E209/SUMIFS(Parametrai!$B$2:$B$21,Parametrai!$A$2:$A$21,$A209)*SUMIFS(Parametrai!$E$2:$E$21,Parametrai!$A$2:$A$21,$A209),0),IF($D209="Kitos varžybos, deklaruotos reitingui",IFERROR($F209/MAX($G209,SUMIFS(Parametrai!$F$2:$F$21,Parametrai!$A$2:$A$21,$A209))*IF($H209="",1,$H209),0),IF($D209="Susikertančios su Lietuvos čempionatu",0.95*SUMIFS($J$2:$J$500,$B$2:$B$500,$B209,$A$2:$A$500,$A209-1),IF($D209="Papildomi (R+)",IFERROR(MAX(0,($F209-900)/1000),0),0))))</f>
        <v>0.68075572241734283</v>
      </c>
    </row>
    <row r="210" spans="1:10" ht="15" customHeight="1" x14ac:dyDescent="0.3">
      <c r="A210" s="22">
        <v>2026</v>
      </c>
      <c r="B210" t="s">
        <v>83</v>
      </c>
      <c r="C210" t="s">
        <v>56</v>
      </c>
      <c r="D210" s="22" t="s">
        <v>50</v>
      </c>
      <c r="E210">
        <v>5616</v>
      </c>
      <c r="I210" s="22" t="s">
        <v>51</v>
      </c>
      <c r="J210" s="23">
        <f>IF($D210="LSF čempionatas",IFERROR($E210/SUMIFS(Parametrai!$B$2:$B$21,Parametrai!$A$2:$A$21,$A210)*SUMIFS(Parametrai!$E$2:$E$21,Parametrai!$A$2:$A$21,$A210),0),IF($D210="Kitos varžybos, deklaruotos reitingui",IFERROR($F210/MAX($G210,SUMIFS(Parametrai!$F$2:$F$21,Parametrai!$A$2:$A$21,$A210))*IF($H210="",1,$H210),0),IF($D210="Susikertančios su Lietuvos čempionatu",0.95*SUMIFS($J$2:$J$500,$B$2:$B$500,$B210,$A$2:$A$500,$A210-1),IF($D210="Papildomi (R+)",IFERROR(MAX(0,($F210-900)/1000),0),0))))</f>
        <v>0.68015017560857449</v>
      </c>
    </row>
    <row r="211" spans="1:10" ht="15" customHeight="1" x14ac:dyDescent="0.3">
      <c r="A211" s="22">
        <v>2026</v>
      </c>
      <c r="B211" t="s">
        <v>75</v>
      </c>
      <c r="C211" t="s">
        <v>56</v>
      </c>
      <c r="D211" s="22" t="s">
        <v>50</v>
      </c>
      <c r="E211">
        <v>5196</v>
      </c>
      <c r="I211" s="22" t="s">
        <v>51</v>
      </c>
      <c r="J211" s="23">
        <f>IF($D211="LSF čempionatas",IFERROR($E211/SUMIFS(Parametrai!$B$2:$B$21,Parametrai!$A$2:$A$21,$A211)*SUMIFS(Parametrai!$E$2:$E$21,Parametrai!$A$2:$A$21,$A211),0),IF($D211="Kitos varžybos, deklaruotos reitingui",IFERROR($F211/MAX($G211,SUMIFS(Parametrai!$F$2:$F$21,Parametrai!$A$2:$A$21,$A211))*IF($H211="",1,$H211),0),IF($D211="Susikertančios su Lietuvos čempionatu",0.95*SUMIFS($J$2:$J$500,$B$2:$B$500,$B211,$A$2:$A$500,$A211-1),IF($D211="Papildomi (R+)",IFERROR(MAX(0,($F211-900)/1000),0),0))))</f>
        <v>0.62928424367203584</v>
      </c>
    </row>
    <row r="212" spans="1:10" ht="15" customHeight="1" x14ac:dyDescent="0.3">
      <c r="A212" s="22">
        <v>2026</v>
      </c>
      <c r="B212" t="s">
        <v>107</v>
      </c>
      <c r="C212" t="s">
        <v>116</v>
      </c>
      <c r="D212" s="22" t="s">
        <v>50</v>
      </c>
      <c r="E212">
        <v>5177</v>
      </c>
      <c r="I212" s="22" t="s">
        <v>51</v>
      </c>
      <c r="J212" s="23">
        <f>IF($D212="LSF čempionatas",IFERROR($E212/SUMIFS(Parametrai!$B$2:$B$21,Parametrai!$A$2:$A$21,$A212)*SUMIFS(Parametrai!$E$2:$E$21,Parametrai!$A$2:$A$21,$A212),0),IF($D212="Kitos varžybos, deklaruotos reitingui",IFERROR($F212/MAX($G212,SUMIFS(Parametrai!$F$2:$F$21,Parametrai!$A$2:$A$21,$A212))*IF($H212="",1,$H212),0),IF($D212="Susikertančios su Lietuvos čempionatu",0.95*SUMIFS($J$2:$J$500,$B$2:$B$500,$B212,$A$2:$A$500,$A212-1),IF($D212="Papildomi (R+)",IFERROR(MAX(0,($F212-900)/1000),0),0))))</f>
        <v>0.62698316579871627</v>
      </c>
    </row>
    <row r="213" spans="1:10" ht="15" customHeight="1" x14ac:dyDescent="0.3">
      <c r="A213" s="22">
        <v>2026</v>
      </c>
      <c r="B213" t="s">
        <v>55</v>
      </c>
      <c r="C213" t="s">
        <v>56</v>
      </c>
      <c r="D213" s="22" t="s">
        <v>50</v>
      </c>
      <c r="E213">
        <v>4507</v>
      </c>
      <c r="I213" s="22" t="s">
        <v>51</v>
      </c>
      <c r="J213" s="23">
        <f>IF($D213="LSF čempionatas",IFERROR($E213/SUMIFS(Parametrai!$B$2:$B$21,Parametrai!$A$2:$A$21,$A213)*SUMIFS(Parametrai!$E$2:$E$21,Parametrai!$A$2:$A$21,$A213),0),IF($D213="Kitos varžybos, deklaruotos reitingui",IFERROR($F213/MAX($G213,SUMIFS(Parametrai!$F$2:$F$21,Parametrai!$A$2:$A$21,$A213))*IF($H213="",1,$H213),0),IF($D213="Susikertančios su Lietuvos čempionatu",0.95*SUMIFS($J$2:$J$500,$B$2:$B$500,$B213,$A$2:$A$500,$A213-1),IF($D213="Papildomi (R+)",IFERROR(MAX(0,($F213-900)/1000),0),0))))</f>
        <v>0.5458398934237616</v>
      </c>
    </row>
    <row r="214" spans="1:10" ht="15" customHeight="1" x14ac:dyDescent="0.3">
      <c r="A214" s="22">
        <v>2026</v>
      </c>
      <c r="B214" t="s">
        <v>108</v>
      </c>
      <c r="C214" t="s">
        <v>116</v>
      </c>
      <c r="D214" s="22" t="s">
        <v>50</v>
      </c>
      <c r="E214">
        <v>3162</v>
      </c>
      <c r="I214" s="22" t="s">
        <v>51</v>
      </c>
      <c r="J214" s="23">
        <f>IF($D214="LSF čempionatas",IFERROR($E214/SUMIFS(Parametrai!$B$2:$B$21,Parametrai!$A$2:$A$21,$A214)*SUMIFS(Parametrai!$E$2:$E$21,Parametrai!$A$2:$A$21,$A214),0),IF($D214="Kitos varžybos, deklaruotos reitingui",IFERROR($F214/MAX($G214,SUMIFS(Parametrai!$F$2:$F$21,Parametrai!$A$2:$A$21,$A214))*IF($H214="",1,$H214),0),IF($D214="Susikertančios su Lietuvos čempionatu",0.95*SUMIFS($J$2:$J$500,$B$2:$B$500,$B214,$A$2:$A$500,$A214-1),IF($D214="Papildomi (R+)",IFERROR(MAX(0,($F214-900)/1000),0),0))))</f>
        <v>0.38294780186508415</v>
      </c>
    </row>
    <row r="215" spans="1:10" ht="15" customHeight="1" x14ac:dyDescent="0.3">
      <c r="A215" s="22">
        <v>2026</v>
      </c>
      <c r="B215" t="s">
        <v>74</v>
      </c>
      <c r="C215" t="s">
        <v>116</v>
      </c>
      <c r="D215" s="22" t="s">
        <v>50</v>
      </c>
      <c r="E215">
        <v>1719</v>
      </c>
      <c r="I215" s="22" t="s">
        <v>51</v>
      </c>
      <c r="J215" s="23">
        <f>IF($D215="LSF čempionatas",IFERROR($E215/SUMIFS(Parametrai!$B$2:$B$21,Parametrai!$A$2:$A$21,$A215)*SUMIFS(Parametrai!$E$2:$E$21,Parametrai!$A$2:$A$21,$A215),0),IF($D215="Kitos varžybos, deklaruotos reitingui",IFERROR($F215/MAX($G215,SUMIFS(Parametrai!$F$2:$F$21,Parametrai!$A$2:$A$21,$A215))*IF($H215="",1,$H215),0),IF($D215="Susikertančios su Lietuvos čempionatu",0.95*SUMIFS($J$2:$J$500,$B$2:$B$500,$B215,$A$2:$A$500,$A215-1),IF($D215="Papildomi (R+)",IFERROR(MAX(0,($F215-900)/1000),0),0))))</f>
        <v>0.20818699285454767</v>
      </c>
    </row>
    <row r="216" spans="1:10" ht="15" customHeight="1" x14ac:dyDescent="0.3">
      <c r="A216" s="22">
        <v>2026</v>
      </c>
      <c r="B216" t="s">
        <v>86</v>
      </c>
      <c r="C216" t="s">
        <v>117</v>
      </c>
      <c r="D216" t="s">
        <v>99</v>
      </c>
      <c r="F216">
        <v>900.95</v>
      </c>
      <c r="I216" s="22" t="s">
        <v>119</v>
      </c>
      <c r="J216" s="23">
        <f>IF($D216="LSF čempionatas",IFERROR($E216/SUMIFS(Parametrai!$B$2:$B$21,Parametrai!$A$2:$A$21,$A216)*SUMIFS(Parametrai!$E$2:$E$21,Parametrai!$A$2:$A$21,$A216),0),IF($D216="Kitos varžybos, deklaruotos reitingui",IFERROR($F216/MAX($G216,SUMIFS(Parametrai!$F$2:$F$21,Parametrai!$A$2:$A$21,$A216))*IF($H216="",1,$H216),0),IF($D216="Susikertančios su Lietuvos čempionatu",0.95*SUMIFS($J$2:$J$500,$B$2:$B$500,$B216,$A$2:$A$500,$A216-1),IF($D216="Papildomi (R+)",IFERROR(MAX(0,($F216-900)/1000),0),0))))</f>
        <v>9.5000000000004543E-4</v>
      </c>
    </row>
    <row r="217" spans="1:10" ht="15" customHeight="1" x14ac:dyDescent="0.3">
      <c r="A217" s="22">
        <v>2026</v>
      </c>
      <c r="B217" t="s">
        <v>72</v>
      </c>
      <c r="C217" t="s">
        <v>116</v>
      </c>
      <c r="D217" t="s">
        <v>99</v>
      </c>
      <c r="F217">
        <v>937.47</v>
      </c>
      <c r="I217" s="22" t="s">
        <v>119</v>
      </c>
      <c r="J217" s="23">
        <f>IF($D217="LSF čempionatas",IFERROR($E217/SUMIFS(Parametrai!$B$2:$B$21,Parametrai!$A$2:$A$21,$A217)*SUMIFS(Parametrai!$E$2:$E$21,Parametrai!$A$2:$A$21,$A217),0),IF($D217="Kitos varžybos, deklaruotos reitingui",IFERROR($F217/MAX($G217,SUMIFS(Parametrai!$F$2:$F$21,Parametrai!$A$2:$A$21,$A217))*IF($H217="",1,$H217),0),IF($D217="Susikertančios su Lietuvos čempionatu",0.95*SUMIFS($J$2:$J$500,$B$2:$B$500,$B217,$A$2:$A$500,$A217-1),IF($D217="Papildomi (R+)",IFERROR(MAX(0,($F217-900)/1000),0),0))))</f>
        <v>3.7470000000000024E-2</v>
      </c>
    </row>
    <row r="218" spans="1:10" ht="15" customHeight="1" x14ac:dyDescent="0.3">
      <c r="A218" s="22"/>
      <c r="J218" s="23">
        <f>IF($D218="LSF čempionatas",IFERROR($E218/SUMIFS(Parametrai!$B$2:$B$21,Parametrai!$A$2:$A$21,$A218)*SUMIFS(Parametrai!$E$2:$E$21,Parametrai!$A$2:$A$21,$A218),0),IF($D218="Kitos varžybos, deklaruotos reitingui",IFERROR($F218/MAX($G218,SUMIFS(Parametrai!$F$2:$F$21,Parametrai!$A$2:$A$21,$A218))*IF($H218="",1,$H218),0),IF($D218="Susikertančios su Lietuvos čempionatu",0.95*SUMIFS($J$2:$J$500,$B$2:$B$500,$B218,$A$2:$A$500,$A218-1),IF($D218="Papildomi (R+)",IFERROR(MAX(0,($F218-900)/1000),0),0))))</f>
        <v>0</v>
      </c>
    </row>
    <row r="219" spans="1:10" ht="15" customHeight="1" x14ac:dyDescent="0.3">
      <c r="J219" s="23">
        <f>IF($D219="LSF čempionatas",IFERROR($E219/SUMIFS(Parametrai!$B$2:$B$21,Parametrai!$A$2:$A$21,$A219)*SUMIFS(Parametrai!$E$2:$E$21,Parametrai!$A$2:$A$21,$A219),0),IF($D219="Kitos varžybos, deklaruotos reitingui",IFERROR($F219/MAX($G219,SUMIFS(Parametrai!$F$2:$F$21,Parametrai!$A$2:$A$21,$A219))*IF($H219="",1,$H219),0),IF($D219="Susikertančios su Lietuvos čempionatu",0.95*SUMIFS($J$2:$J$500,$B$2:$B$500,$B219,$A$2:$A$500,$A219-1),IF($D219="Papildomi (R+)",IFERROR(MAX(0,($F219-900)/1000),0),0))))</f>
        <v>0</v>
      </c>
    </row>
    <row r="220" spans="1:10" ht="15" customHeight="1" x14ac:dyDescent="0.3">
      <c r="J220" s="23">
        <f>IF($D220="LSF čempionatas",IFERROR($E220/SUMIFS(Parametrai!$B$2:$B$21,Parametrai!$A$2:$A$21,$A220)*SUMIFS(Parametrai!$E$2:$E$21,Parametrai!$A$2:$A$21,$A220),0),IF($D220="Kitos varžybos, deklaruotos reitingui",IFERROR($F220/MAX($G220,SUMIFS(Parametrai!$F$2:$F$21,Parametrai!$A$2:$A$21,$A220))*IF($H220="",1,$H220),0),IF($D220="Susikertančios su Lietuvos čempionatu",0.95*SUMIFS($J$2:$J$500,$B$2:$B$500,$B220,$A$2:$A$500,$A220-1),IF($D220="Papildomi (R+)",IFERROR(MAX(0,($F220-900)/1000),0),0))))</f>
        <v>0</v>
      </c>
    </row>
    <row r="221" spans="1:10" ht="15" customHeight="1" x14ac:dyDescent="0.3">
      <c r="J221" s="23">
        <f>IF($D221="LSF čempionatas",IFERROR($E221/SUMIFS(Parametrai!$B$2:$B$21,Parametrai!$A$2:$A$21,$A221)*SUMIFS(Parametrai!$E$2:$E$21,Parametrai!$A$2:$A$21,$A221),0),IF($D221="Kitos varžybos, deklaruotos reitingui",IFERROR($F221/MAX($G221,SUMIFS(Parametrai!$F$2:$F$21,Parametrai!$A$2:$A$21,$A221))*IF($H221="",1,$H221),0),IF($D221="Susikertančios su Lietuvos čempionatu",0.95*SUMIFS($J$2:$J$500,$B$2:$B$500,$B221,$A$2:$A$500,$A221-1),IF($D221="Papildomi (R+)",IFERROR(MAX(0,($F221-900)/1000),0),0))))</f>
        <v>0</v>
      </c>
    </row>
    <row r="222" spans="1:10" ht="15" customHeight="1" x14ac:dyDescent="0.3">
      <c r="J222" s="23">
        <f>IF($D222="LSF čempionatas",IFERROR($E222/SUMIFS(Parametrai!$B$2:$B$21,Parametrai!$A$2:$A$21,$A222)*SUMIFS(Parametrai!$E$2:$E$21,Parametrai!$A$2:$A$21,$A222),0),IF($D222="Kitos varžybos, deklaruotos reitingui",IFERROR($F222/MAX($G222,SUMIFS(Parametrai!$F$2:$F$21,Parametrai!$A$2:$A$21,$A222))*IF($H222="",1,$H222),0),IF($D222="Susikertančios su Lietuvos čempionatu",0.95*SUMIFS($J$2:$J$500,$B$2:$B$500,$B222,$A$2:$A$500,$A222-1),IF($D222="Papildomi (R+)",IFERROR(MAX(0,($F222-900)/1000),0),0))))</f>
        <v>0</v>
      </c>
    </row>
    <row r="223" spans="1:10" ht="15" customHeight="1" x14ac:dyDescent="0.3">
      <c r="J223" s="23">
        <f>IF($D223="LSF čempionatas",IFERROR($E223/SUMIFS(Parametrai!$B$2:$B$21,Parametrai!$A$2:$A$21,$A223)*SUMIFS(Parametrai!$E$2:$E$21,Parametrai!$A$2:$A$21,$A223),0),IF($D223="Kitos varžybos, deklaruotos reitingui",IFERROR($F223/MAX($G223,SUMIFS(Parametrai!$F$2:$F$21,Parametrai!$A$2:$A$21,$A223))*IF($H223="",1,$H223),0),IF($D223="Susikertančios su Lietuvos čempionatu",0.95*SUMIFS($J$2:$J$500,$B$2:$B$500,$B223,$A$2:$A$500,$A223-1),IF($D223="Papildomi (R+)",IFERROR(MAX(0,($F223-900)/1000),0),0))))</f>
        <v>0</v>
      </c>
    </row>
    <row r="224" spans="1:10" ht="15" customHeight="1" x14ac:dyDescent="0.3">
      <c r="J224" s="23">
        <f>IF($D224="LSF čempionatas",IFERROR($E224/SUMIFS(Parametrai!$B$2:$B$21,Parametrai!$A$2:$A$21,$A224)*SUMIFS(Parametrai!$E$2:$E$21,Parametrai!$A$2:$A$21,$A224),0),IF($D224="Kitos varžybos, deklaruotos reitingui",IFERROR($F224/MAX($G224,SUMIFS(Parametrai!$F$2:$F$21,Parametrai!$A$2:$A$21,$A224))*IF($H224="",1,$H224),0),IF($D224="Susikertančios su Lietuvos čempionatu",0.95*SUMIFS($J$2:$J$500,$B$2:$B$500,$B224,$A$2:$A$500,$A224-1),IF($D224="Papildomi (R+)",IFERROR(MAX(0,($F224-900)/1000),0),0))))</f>
        <v>0</v>
      </c>
    </row>
    <row r="225" spans="10:10" ht="15" customHeight="1" x14ac:dyDescent="0.3">
      <c r="J225" s="23">
        <f>IF($D225="LSF čempionatas",IFERROR($E225/SUMIFS(Parametrai!$B$2:$B$21,Parametrai!$A$2:$A$21,$A225)*SUMIFS(Parametrai!$E$2:$E$21,Parametrai!$A$2:$A$21,$A225),0),IF($D225="Kitos varžybos, deklaruotos reitingui",IFERROR($F225/MAX($G225,SUMIFS(Parametrai!$F$2:$F$21,Parametrai!$A$2:$A$21,$A225))*IF($H225="",1,$H225),0),IF($D225="Susikertančios su Lietuvos čempionatu",0.95*SUMIFS($J$2:$J$500,$B$2:$B$500,$B225,$A$2:$A$500,$A225-1),IF($D225="Papildomi (R+)",IFERROR(MAX(0,($F225-900)/1000),0),0))))</f>
        <v>0</v>
      </c>
    </row>
    <row r="226" spans="10:10" ht="15" customHeight="1" x14ac:dyDescent="0.3">
      <c r="J226" s="23">
        <f>IF($D226="LSF čempionatas",IFERROR($E226/SUMIFS(Parametrai!$B$2:$B$21,Parametrai!$A$2:$A$21,$A226)*SUMIFS(Parametrai!$E$2:$E$21,Parametrai!$A$2:$A$21,$A226),0),IF($D226="Kitos varžybos, deklaruotos reitingui",IFERROR($F226/MAX($G226,SUMIFS(Parametrai!$F$2:$F$21,Parametrai!$A$2:$A$21,$A226))*IF($H226="",1,$H226),0),IF($D226="Susikertančios su Lietuvos čempionatu",0.95*SUMIFS($J$2:$J$500,$B$2:$B$500,$B226,$A$2:$A$500,$A226-1),IF($D226="Papildomi (R+)",IFERROR(MAX(0,($F226-900)/1000),0),0))))</f>
        <v>0</v>
      </c>
    </row>
    <row r="227" spans="10:10" ht="15" customHeight="1" x14ac:dyDescent="0.3">
      <c r="J227" s="23">
        <f>IF($D227="LSF čempionatas",IFERROR($E227/SUMIFS(Parametrai!$B$2:$B$21,Parametrai!$A$2:$A$21,$A227)*SUMIFS(Parametrai!$E$2:$E$21,Parametrai!$A$2:$A$21,$A227),0),IF($D227="Kitos varžybos, deklaruotos reitingui",IFERROR($F227/MAX($G227,SUMIFS(Parametrai!$F$2:$F$21,Parametrai!$A$2:$A$21,$A227))*IF($H227="",1,$H227),0),IF($D227="Susikertančios su Lietuvos čempionatu",0.95*SUMIFS($J$2:$J$500,$B$2:$B$500,$B227,$A$2:$A$500,$A227-1),IF($D227="Papildomi (R+)",IFERROR(MAX(0,($F227-900)/1000),0),0))))</f>
        <v>0</v>
      </c>
    </row>
    <row r="228" spans="10:10" ht="15" customHeight="1" x14ac:dyDescent="0.3">
      <c r="J228" s="23">
        <f>IF($D228="LSF čempionatas",IFERROR($E228/SUMIFS(Parametrai!$B$2:$B$21,Parametrai!$A$2:$A$21,$A228)*SUMIFS(Parametrai!$E$2:$E$21,Parametrai!$A$2:$A$21,$A228),0),IF($D228="Kitos varžybos, deklaruotos reitingui",IFERROR($F228/MAX($G228,SUMIFS(Parametrai!$F$2:$F$21,Parametrai!$A$2:$A$21,$A228))*IF($H228="",1,$H228),0),IF($D228="Susikertančios su Lietuvos čempionatu",0.95*SUMIFS($J$2:$J$500,$B$2:$B$500,$B228,$A$2:$A$500,$A228-1),IF($D228="Papildomi (R+)",IFERROR(MAX(0,($F228-900)/1000),0),0))))</f>
        <v>0</v>
      </c>
    </row>
    <row r="229" spans="10:10" ht="15" customHeight="1" x14ac:dyDescent="0.3">
      <c r="J229" s="23">
        <f>IF($D229="LSF čempionatas",IFERROR($E229/SUMIFS(Parametrai!$B$2:$B$21,Parametrai!$A$2:$A$21,$A229)*SUMIFS(Parametrai!$E$2:$E$21,Parametrai!$A$2:$A$21,$A229),0),IF($D229="Kitos varžybos, deklaruotos reitingui",IFERROR($F229/MAX($G229,SUMIFS(Parametrai!$F$2:$F$21,Parametrai!$A$2:$A$21,$A229))*IF($H229="",1,$H229),0),IF($D229="Susikertančios su Lietuvos čempionatu",0.95*SUMIFS($J$2:$J$500,$B$2:$B$500,$B229,$A$2:$A$500,$A229-1),IF($D229="Papildomi (R+)",IFERROR(MAX(0,($F229-900)/1000),0),0))))</f>
        <v>0</v>
      </c>
    </row>
    <row r="230" spans="10:10" ht="15" customHeight="1" x14ac:dyDescent="0.3">
      <c r="J230" s="23">
        <f>IF($D230="LSF čempionatas",IFERROR($E230/SUMIFS(Parametrai!$B$2:$B$21,Parametrai!$A$2:$A$21,$A230)*SUMIFS(Parametrai!$E$2:$E$21,Parametrai!$A$2:$A$21,$A230),0),IF($D230="Kitos varžybos, deklaruotos reitingui",IFERROR($F230/MAX($G230,SUMIFS(Parametrai!$F$2:$F$21,Parametrai!$A$2:$A$21,$A230))*IF($H230="",1,$H230),0),IF($D230="Susikertančios su Lietuvos čempionatu",0.95*SUMIFS($J$2:$J$500,$B$2:$B$500,$B230,$A$2:$A$500,$A230-1),IF($D230="Papildomi (R+)",IFERROR(MAX(0,($F230-900)/1000),0),0))))</f>
        <v>0</v>
      </c>
    </row>
    <row r="231" spans="10:10" ht="15" customHeight="1" x14ac:dyDescent="0.3">
      <c r="J231" s="23">
        <f>IF($D231="LSF čempionatas",IFERROR($E231/SUMIFS(Parametrai!$B$2:$B$21,Parametrai!$A$2:$A$21,$A231)*SUMIFS(Parametrai!$E$2:$E$21,Parametrai!$A$2:$A$21,$A231),0),IF($D231="Kitos varžybos, deklaruotos reitingui",IFERROR($F231/MAX($G231,SUMIFS(Parametrai!$F$2:$F$21,Parametrai!$A$2:$A$21,$A231))*IF($H231="",1,$H231),0),IF($D231="Susikertančios su Lietuvos čempionatu",0.95*SUMIFS($J$2:$J$500,$B$2:$B$500,$B231,$A$2:$A$500,$A231-1),IF($D231="Papildomi (R+)",IFERROR(MAX(0,($F231-900)/1000),0),0))))</f>
        <v>0</v>
      </c>
    </row>
    <row r="232" spans="10:10" ht="15" customHeight="1" x14ac:dyDescent="0.3">
      <c r="J232" s="23">
        <f>IF($D232="LSF čempionatas",IFERROR($E232/SUMIFS(Parametrai!$B$2:$B$21,Parametrai!$A$2:$A$21,$A232)*SUMIFS(Parametrai!$E$2:$E$21,Parametrai!$A$2:$A$21,$A232),0),IF($D232="Kitos varžybos, deklaruotos reitingui",IFERROR($F232/MAX($G232,SUMIFS(Parametrai!$F$2:$F$21,Parametrai!$A$2:$A$21,$A232))*IF($H232="",1,$H232),0),IF($D232="Susikertančios su Lietuvos čempionatu",0.95*SUMIFS($J$2:$J$500,$B$2:$B$500,$B232,$A$2:$A$500,$A232-1),IF($D232="Papildomi (R+)",IFERROR(MAX(0,($F232-900)/1000),0),0))))</f>
        <v>0</v>
      </c>
    </row>
    <row r="233" spans="10:10" ht="15" customHeight="1" x14ac:dyDescent="0.3">
      <c r="J233" s="23">
        <f>IF($D233="LSF čempionatas",IFERROR($E233/SUMIFS(Parametrai!$B$2:$B$21,Parametrai!$A$2:$A$21,$A233)*SUMIFS(Parametrai!$E$2:$E$21,Parametrai!$A$2:$A$21,$A233),0),IF($D233="Kitos varžybos, deklaruotos reitingui",IFERROR($F233/MAX($G233,SUMIFS(Parametrai!$F$2:$F$21,Parametrai!$A$2:$A$21,$A233))*IF($H233="",1,$H233),0),IF($D233="Susikertančios su Lietuvos čempionatu",0.95*SUMIFS($J$2:$J$500,$B$2:$B$500,$B233,$A$2:$A$500,$A233-1),IF($D233="Papildomi (R+)",IFERROR(MAX(0,($F233-900)/1000),0),0))))</f>
        <v>0</v>
      </c>
    </row>
    <row r="234" spans="10:10" ht="15" customHeight="1" x14ac:dyDescent="0.3">
      <c r="J234" s="23">
        <f>IF($D234="LSF čempionatas",IFERROR($E234/SUMIFS(Parametrai!$B$2:$B$21,Parametrai!$A$2:$A$21,$A234)*SUMIFS(Parametrai!$E$2:$E$21,Parametrai!$A$2:$A$21,$A234),0),IF($D234="Kitos varžybos, deklaruotos reitingui",IFERROR($F234/MAX($G234,SUMIFS(Parametrai!$F$2:$F$21,Parametrai!$A$2:$A$21,$A234))*IF($H234="",1,$H234),0),IF($D234="Susikertančios su Lietuvos čempionatu",0.95*SUMIFS($J$2:$J$500,$B$2:$B$500,$B234,$A$2:$A$500,$A234-1),IF($D234="Papildomi (R+)",IFERROR(MAX(0,($F234-900)/1000),0),0))))</f>
        <v>0</v>
      </c>
    </row>
    <row r="235" spans="10:10" ht="15" customHeight="1" x14ac:dyDescent="0.3">
      <c r="J235" s="23">
        <f>IF($D235="LSF čempionatas",IFERROR($E235/SUMIFS(Parametrai!$B$2:$B$21,Parametrai!$A$2:$A$21,$A235)*SUMIFS(Parametrai!$E$2:$E$21,Parametrai!$A$2:$A$21,$A235),0),IF($D235="Kitos varžybos, deklaruotos reitingui",IFERROR($F235/MAX($G235,SUMIFS(Parametrai!$F$2:$F$21,Parametrai!$A$2:$A$21,$A235))*IF($H235="",1,$H235),0),IF($D235="Susikertančios su Lietuvos čempionatu",0.95*SUMIFS($J$2:$J$500,$B$2:$B$500,$B235,$A$2:$A$500,$A235-1),IF($D235="Papildomi (R+)",IFERROR(MAX(0,($F235-900)/1000),0),0))))</f>
        <v>0</v>
      </c>
    </row>
    <row r="236" spans="10:10" ht="15" customHeight="1" x14ac:dyDescent="0.3">
      <c r="J236" s="23">
        <f>IF($D236="LSF čempionatas",IFERROR($E236/SUMIFS(Parametrai!$B$2:$B$21,Parametrai!$A$2:$A$21,$A236)*SUMIFS(Parametrai!$E$2:$E$21,Parametrai!$A$2:$A$21,$A236),0),IF($D236="Kitos varžybos, deklaruotos reitingui",IFERROR($F236/MAX($G236,SUMIFS(Parametrai!$F$2:$F$21,Parametrai!$A$2:$A$21,$A236))*IF($H236="",1,$H236),0),IF($D236="Susikertančios su Lietuvos čempionatu",0.95*SUMIFS($J$2:$J$500,$B$2:$B$500,$B236,$A$2:$A$500,$A236-1),IF($D236="Papildomi (R+)",IFERROR(MAX(0,($F236-900)/1000),0),0))))</f>
        <v>0</v>
      </c>
    </row>
    <row r="237" spans="10:10" ht="15" customHeight="1" x14ac:dyDescent="0.3">
      <c r="J237" s="23">
        <f>IF($D237="LSF čempionatas",IFERROR($E237/SUMIFS(Parametrai!$B$2:$B$21,Parametrai!$A$2:$A$21,$A237)*SUMIFS(Parametrai!$E$2:$E$21,Parametrai!$A$2:$A$21,$A237),0),IF($D237="Kitos varžybos, deklaruotos reitingui",IFERROR($F237/MAX($G237,SUMIFS(Parametrai!$F$2:$F$21,Parametrai!$A$2:$A$21,$A237))*IF($H237="",1,$H237),0),IF($D237="Susikertančios su Lietuvos čempionatu",0.95*SUMIFS($J$2:$J$500,$B$2:$B$500,$B237,$A$2:$A$500,$A237-1),IF($D237="Papildomi (R+)",IFERROR(MAX(0,($F237-900)/1000),0),0))))</f>
        <v>0</v>
      </c>
    </row>
    <row r="238" spans="10:10" ht="15" customHeight="1" x14ac:dyDescent="0.3">
      <c r="J238" s="23">
        <f>IF($D238="LSF čempionatas",IFERROR($E238/SUMIFS(Parametrai!$B$2:$B$21,Parametrai!$A$2:$A$21,$A238)*SUMIFS(Parametrai!$E$2:$E$21,Parametrai!$A$2:$A$21,$A238),0),IF($D238="Kitos varžybos, deklaruotos reitingui",IFERROR($F238/MAX($G238,SUMIFS(Parametrai!$F$2:$F$21,Parametrai!$A$2:$A$21,$A238))*IF($H238="",1,$H238),0),IF($D238="Susikertančios su Lietuvos čempionatu",0.95*SUMIFS($J$2:$J$500,$B$2:$B$500,$B238,$A$2:$A$500,$A238-1),IF($D238="Papildomi (R+)",IFERROR(MAX(0,($F238-900)/1000),0),0))))</f>
        <v>0</v>
      </c>
    </row>
    <row r="239" spans="10:10" ht="15" customHeight="1" x14ac:dyDescent="0.3">
      <c r="J239" s="23">
        <f>IF($D239="LSF čempionatas",IFERROR($E239/SUMIFS(Parametrai!$B$2:$B$21,Parametrai!$A$2:$A$21,$A239)*SUMIFS(Parametrai!$E$2:$E$21,Parametrai!$A$2:$A$21,$A239),0),IF($D239="Kitos varžybos, deklaruotos reitingui",IFERROR($F239/MAX($G239,SUMIFS(Parametrai!$F$2:$F$21,Parametrai!$A$2:$A$21,$A239))*IF($H239="",1,$H239),0),IF($D239="Susikertančios su Lietuvos čempionatu",0.95*SUMIFS($J$2:$J$500,$B$2:$B$500,$B239,$A$2:$A$500,$A239-1),IF($D239="Papildomi (R+)",IFERROR(MAX(0,($F239-900)/1000),0),0))))</f>
        <v>0</v>
      </c>
    </row>
    <row r="240" spans="10:10" ht="15" customHeight="1" x14ac:dyDescent="0.3">
      <c r="J240" s="23">
        <f>IF($D240="LSF čempionatas",IFERROR($E240/SUMIFS(Parametrai!$B$2:$B$21,Parametrai!$A$2:$A$21,$A240)*SUMIFS(Parametrai!$E$2:$E$21,Parametrai!$A$2:$A$21,$A240),0),IF($D240="Kitos varžybos, deklaruotos reitingui",IFERROR($F240/MAX($G240,SUMIFS(Parametrai!$F$2:$F$21,Parametrai!$A$2:$A$21,$A240))*IF($H240="",1,$H240),0),IF($D240="Susikertančios su Lietuvos čempionatu",0.95*SUMIFS($J$2:$J$500,$B$2:$B$500,$B240,$A$2:$A$500,$A240-1),IF($D240="Papildomi (R+)",IFERROR(MAX(0,($F240-900)/1000),0),0))))</f>
        <v>0</v>
      </c>
    </row>
    <row r="241" spans="10:10" ht="15" customHeight="1" x14ac:dyDescent="0.3">
      <c r="J241" s="23">
        <f>IF($D241="LSF čempionatas",IFERROR($E241/SUMIFS(Parametrai!$B$2:$B$21,Parametrai!$A$2:$A$21,$A241)*SUMIFS(Parametrai!$E$2:$E$21,Parametrai!$A$2:$A$21,$A241),0),IF($D241="Kitos varžybos, deklaruotos reitingui",IFERROR($F241/MAX($G241,SUMIFS(Parametrai!$F$2:$F$21,Parametrai!$A$2:$A$21,$A241))*IF($H241="",1,$H241),0),IF($D241="Susikertančios su Lietuvos čempionatu",0.95*SUMIFS($J$2:$J$500,$B$2:$B$500,$B241,$A$2:$A$500,$A241-1),IF($D241="Papildomi (R+)",IFERROR(MAX(0,($F241-900)/1000),0),0))))</f>
        <v>0</v>
      </c>
    </row>
    <row r="242" spans="10:10" ht="15" customHeight="1" x14ac:dyDescent="0.3">
      <c r="J242" s="23">
        <f>IF($D242="LSF čempionatas",IFERROR($E242/SUMIFS(Parametrai!$B$2:$B$21,Parametrai!$A$2:$A$21,$A242)*SUMIFS(Parametrai!$E$2:$E$21,Parametrai!$A$2:$A$21,$A242),0),IF($D242="Kitos varžybos, deklaruotos reitingui",IFERROR($F242/MAX($G242,SUMIFS(Parametrai!$F$2:$F$21,Parametrai!$A$2:$A$21,$A242))*IF($H242="",1,$H242),0),IF($D242="Susikertančios su Lietuvos čempionatu",0.95*SUMIFS($J$2:$J$500,$B$2:$B$500,$B242,$A$2:$A$500,$A242-1),IF($D242="Papildomi (R+)",IFERROR(MAX(0,($F242-900)/1000),0),0))))</f>
        <v>0</v>
      </c>
    </row>
    <row r="243" spans="10:10" ht="15" customHeight="1" x14ac:dyDescent="0.3">
      <c r="J243" s="23">
        <f>IF($D243="LSF čempionatas",IFERROR($E243/SUMIFS(Parametrai!$B$2:$B$21,Parametrai!$A$2:$A$21,$A243)*SUMIFS(Parametrai!$E$2:$E$21,Parametrai!$A$2:$A$21,$A243),0),IF($D243="Kitos varžybos, deklaruotos reitingui",IFERROR($F243/MAX($G243,SUMIFS(Parametrai!$F$2:$F$21,Parametrai!$A$2:$A$21,$A243))*IF($H243="",1,$H243),0),IF($D243="Susikertančios su Lietuvos čempionatu",0.95*SUMIFS($J$2:$J$500,$B$2:$B$500,$B243,$A$2:$A$500,$A243-1),IF($D243="Papildomi (R+)",IFERROR(MAX(0,($F243-900)/1000),0),0))))</f>
        <v>0</v>
      </c>
    </row>
    <row r="244" spans="10:10" ht="15" customHeight="1" x14ac:dyDescent="0.3">
      <c r="J244" s="23">
        <f>IF($D244="LSF čempionatas",IFERROR($E244/SUMIFS(Parametrai!$B$2:$B$21,Parametrai!$A$2:$A$21,$A244)*SUMIFS(Parametrai!$E$2:$E$21,Parametrai!$A$2:$A$21,$A244),0),IF($D244="Kitos varžybos, deklaruotos reitingui",IFERROR($F244/MAX($G244,SUMIFS(Parametrai!$F$2:$F$21,Parametrai!$A$2:$A$21,$A244))*IF($H244="",1,$H244),0),IF($D244="Susikertančios su Lietuvos čempionatu",0.95*SUMIFS($J$2:$J$500,$B$2:$B$500,$B244,$A$2:$A$500,$A244-1),IF($D244="Papildomi (R+)",IFERROR(MAX(0,($F244-900)/1000),0),0))))</f>
        <v>0</v>
      </c>
    </row>
    <row r="245" spans="10:10" ht="15" customHeight="1" x14ac:dyDescent="0.3">
      <c r="J245" s="23">
        <f>IF($D245="LSF čempionatas",IFERROR($E245/SUMIFS(Parametrai!$B$2:$B$21,Parametrai!$A$2:$A$21,$A245)*SUMIFS(Parametrai!$E$2:$E$21,Parametrai!$A$2:$A$21,$A245),0),IF($D245="Kitos varžybos, deklaruotos reitingui",IFERROR($F245/MAX($G245,SUMIFS(Parametrai!$F$2:$F$21,Parametrai!$A$2:$A$21,$A245))*IF($H245="",1,$H245),0),IF($D245="Susikertančios su Lietuvos čempionatu",0.95*SUMIFS($J$2:$J$500,$B$2:$B$500,$B245,$A$2:$A$500,$A245-1),IF($D245="Papildomi (R+)",IFERROR(MAX(0,($F245-900)/1000),0),0))))</f>
        <v>0</v>
      </c>
    </row>
    <row r="246" spans="10:10" ht="15" customHeight="1" x14ac:dyDescent="0.3">
      <c r="J246" s="23">
        <f>IF($D246="LSF čempionatas",IFERROR($E246/SUMIFS(Parametrai!$B$2:$B$21,Parametrai!$A$2:$A$21,$A246)*SUMIFS(Parametrai!$E$2:$E$21,Parametrai!$A$2:$A$21,$A246),0),IF($D246="Kitos varžybos, deklaruotos reitingui",IFERROR($F246/MAX($G246,SUMIFS(Parametrai!$F$2:$F$21,Parametrai!$A$2:$A$21,$A246))*IF($H246="",1,$H246),0),IF($D246="Susikertančios su Lietuvos čempionatu",0.95*SUMIFS($J$2:$J$500,$B$2:$B$500,$B246,$A$2:$A$500,$A246-1),IF($D246="Papildomi (R+)",IFERROR(MAX(0,($F246-900)/1000),0),0))))</f>
        <v>0</v>
      </c>
    </row>
    <row r="247" spans="10:10" ht="15" customHeight="1" x14ac:dyDescent="0.3">
      <c r="J247" s="23">
        <f>IF($D247="LSF čempionatas",IFERROR($E247/SUMIFS(Parametrai!$B$2:$B$21,Parametrai!$A$2:$A$21,$A247)*SUMIFS(Parametrai!$E$2:$E$21,Parametrai!$A$2:$A$21,$A247),0),IF($D247="Kitos varžybos, deklaruotos reitingui",IFERROR($F247/MAX($G247,SUMIFS(Parametrai!$F$2:$F$21,Parametrai!$A$2:$A$21,$A247))*IF($H247="",1,$H247),0),IF($D247="Susikertančios su Lietuvos čempionatu",0.95*SUMIFS($J$2:$J$500,$B$2:$B$500,$B247,$A$2:$A$500,$A247-1),IF($D247="Papildomi (R+)",IFERROR(MAX(0,($F247-900)/1000),0),0))))</f>
        <v>0</v>
      </c>
    </row>
    <row r="248" spans="10:10" ht="15" customHeight="1" x14ac:dyDescent="0.3">
      <c r="J248" s="23">
        <f>IF($D248="LSF čempionatas",IFERROR($E248/SUMIFS(Parametrai!$B$2:$B$21,Parametrai!$A$2:$A$21,$A248)*SUMIFS(Parametrai!$E$2:$E$21,Parametrai!$A$2:$A$21,$A248),0),IF($D248="Kitos varžybos, deklaruotos reitingui",IFERROR($F248/MAX($G248,SUMIFS(Parametrai!$F$2:$F$21,Parametrai!$A$2:$A$21,$A248))*IF($H248="",1,$H248),0),IF($D248="Susikertančios su Lietuvos čempionatu",0.95*SUMIFS($J$2:$J$500,$B$2:$B$500,$B248,$A$2:$A$500,$A248-1),IF($D248="Papildomi (R+)",IFERROR(MAX(0,($F248-900)/1000),0),0))))</f>
        <v>0</v>
      </c>
    </row>
    <row r="249" spans="10:10" ht="15" customHeight="1" x14ac:dyDescent="0.3">
      <c r="J249" s="23">
        <f>IF($D249="LSF čempionatas",IFERROR($E249/SUMIFS(Parametrai!$B$2:$B$21,Parametrai!$A$2:$A$21,$A249)*SUMIFS(Parametrai!$E$2:$E$21,Parametrai!$A$2:$A$21,$A249),0),IF($D249="Kitos varžybos, deklaruotos reitingui",IFERROR($F249/MAX($G249,SUMIFS(Parametrai!$F$2:$F$21,Parametrai!$A$2:$A$21,$A249))*IF($H249="",1,$H249),0),IF($D249="Susikertančios su Lietuvos čempionatu",0.95*SUMIFS($J$2:$J$500,$B$2:$B$500,$B249,$A$2:$A$500,$A249-1),IF($D249="Papildomi (R+)",IFERROR(MAX(0,($F249-900)/1000),0),0))))</f>
        <v>0</v>
      </c>
    </row>
    <row r="250" spans="10:10" ht="15" customHeight="1" x14ac:dyDescent="0.3">
      <c r="J250" s="23">
        <f>IF($D250="LSF čempionatas",IFERROR($E250/SUMIFS(Parametrai!$B$2:$B$21,Parametrai!$A$2:$A$21,$A250)*SUMIFS(Parametrai!$E$2:$E$21,Parametrai!$A$2:$A$21,$A250),0),IF($D250="Kitos varžybos, deklaruotos reitingui",IFERROR($F250/MAX($G250,SUMIFS(Parametrai!$F$2:$F$21,Parametrai!$A$2:$A$21,$A250))*IF($H250="",1,$H250),0),IF($D250="Susikertančios su Lietuvos čempionatu",0.95*SUMIFS($J$2:$J$500,$B$2:$B$500,$B250,$A$2:$A$500,$A250-1),IF($D250="Papildomi (R+)",IFERROR(MAX(0,($F250-900)/1000),0),0))))</f>
        <v>0</v>
      </c>
    </row>
    <row r="251" spans="10:10" ht="15" customHeight="1" x14ac:dyDescent="0.3">
      <c r="J251" s="23">
        <f>IF($D251="LSF čempionatas",IFERROR($E251/SUMIFS(Parametrai!$B$2:$B$21,Parametrai!$A$2:$A$21,$A251)*SUMIFS(Parametrai!$E$2:$E$21,Parametrai!$A$2:$A$21,$A251),0),IF($D251="Kitos varžybos, deklaruotos reitingui",IFERROR($F251/MAX($G251,SUMIFS(Parametrai!$F$2:$F$21,Parametrai!$A$2:$A$21,$A251))*IF($H251="",1,$H251),0),IF($D251="Susikertančios su Lietuvos čempionatu",0.95*SUMIFS($J$2:$J$500,$B$2:$B$500,$B251,$A$2:$A$500,$A251-1),IF($D251="Papildomi (R+)",IFERROR(MAX(0,($F251-900)/1000),0),0))))</f>
        <v>0</v>
      </c>
    </row>
    <row r="252" spans="10:10" ht="15" customHeight="1" x14ac:dyDescent="0.3">
      <c r="J252" s="23">
        <f>IF($D252="LSF čempionatas",IFERROR($E252/SUMIFS(Parametrai!$B$2:$B$21,Parametrai!$A$2:$A$21,$A252)*SUMIFS(Parametrai!$E$2:$E$21,Parametrai!$A$2:$A$21,$A252),0),IF($D252="Kitos varžybos, deklaruotos reitingui",IFERROR($F252/MAX($G252,SUMIFS(Parametrai!$F$2:$F$21,Parametrai!$A$2:$A$21,$A252))*IF($H252="",1,$H252),0),IF($D252="Susikertančios su Lietuvos čempionatu",0.95*SUMIFS($J$2:$J$500,$B$2:$B$500,$B252,$A$2:$A$500,$A252-1),IF($D252="Papildomi (R+)",IFERROR(MAX(0,($F252-900)/1000),0),0))))</f>
        <v>0</v>
      </c>
    </row>
    <row r="253" spans="10:10" ht="15" customHeight="1" x14ac:dyDescent="0.3">
      <c r="J253" s="23">
        <f>IF($D253="LSF čempionatas",IFERROR($E253/SUMIFS(Parametrai!$B$2:$B$21,Parametrai!$A$2:$A$21,$A253)*SUMIFS(Parametrai!$E$2:$E$21,Parametrai!$A$2:$A$21,$A253),0),IF($D253="Kitos varžybos, deklaruotos reitingui",IFERROR($F253/MAX($G253,SUMIFS(Parametrai!$F$2:$F$21,Parametrai!$A$2:$A$21,$A253))*IF($H253="",1,$H253),0),IF($D253="Susikertančios su Lietuvos čempionatu",0.95*SUMIFS($J$2:$J$500,$B$2:$B$500,$B253,$A$2:$A$500,$A253-1),IF($D253="Papildomi (R+)",IFERROR(MAX(0,($F253-900)/1000),0),0))))</f>
        <v>0</v>
      </c>
    </row>
    <row r="254" spans="10:10" ht="15" customHeight="1" x14ac:dyDescent="0.3">
      <c r="J254" s="23">
        <f>IF($D254="LSF čempionatas",IFERROR($E254/SUMIFS(Parametrai!$B$2:$B$21,Parametrai!$A$2:$A$21,$A254)*SUMIFS(Parametrai!$E$2:$E$21,Parametrai!$A$2:$A$21,$A254),0),IF($D254="Kitos varžybos, deklaruotos reitingui",IFERROR($F254/MAX($G254,SUMIFS(Parametrai!$F$2:$F$21,Parametrai!$A$2:$A$21,$A254))*IF($H254="",1,$H254),0),IF($D254="Susikertančios su Lietuvos čempionatu",0.95*SUMIFS($J$2:$J$500,$B$2:$B$500,$B254,$A$2:$A$500,$A254-1),IF($D254="Papildomi (R+)",IFERROR(MAX(0,($F254-900)/1000),0),0))))</f>
        <v>0</v>
      </c>
    </row>
    <row r="255" spans="10:10" ht="15" customHeight="1" x14ac:dyDescent="0.3">
      <c r="J255" s="23">
        <f>IF($D255="LSF čempionatas",IFERROR($E255/SUMIFS(Parametrai!$B$2:$B$21,Parametrai!$A$2:$A$21,$A255)*SUMIFS(Parametrai!$E$2:$E$21,Parametrai!$A$2:$A$21,$A255),0),IF($D255="Kitos varžybos, deklaruotos reitingui",IFERROR($F255/MAX($G255,SUMIFS(Parametrai!$F$2:$F$21,Parametrai!$A$2:$A$21,$A255))*IF($H255="",1,$H255),0),IF($D255="Susikertančios su Lietuvos čempionatu",0.95*SUMIFS($J$2:$J$500,$B$2:$B$500,$B255,$A$2:$A$500,$A255-1),IF($D255="Papildomi (R+)",IFERROR(MAX(0,($F255-900)/1000),0),0))))</f>
        <v>0</v>
      </c>
    </row>
    <row r="256" spans="10:10" ht="15" customHeight="1" x14ac:dyDescent="0.3">
      <c r="J256" s="23">
        <f>IF($D256="LSF čempionatas",IFERROR($E256/SUMIFS(Parametrai!$B$2:$B$21,Parametrai!$A$2:$A$21,$A256)*SUMIFS(Parametrai!$E$2:$E$21,Parametrai!$A$2:$A$21,$A256),0),IF($D256="Kitos varžybos, deklaruotos reitingui",IFERROR($F256/MAX($G256,SUMIFS(Parametrai!$F$2:$F$21,Parametrai!$A$2:$A$21,$A256))*IF($H256="",1,$H256),0),IF($D256="Susikertančios su Lietuvos čempionatu",0.95*SUMIFS($J$2:$J$500,$B$2:$B$500,$B256,$A$2:$A$500,$A256-1),IF($D256="Papildomi (R+)",IFERROR(MAX(0,($F256-900)/1000),0),0))))</f>
        <v>0</v>
      </c>
    </row>
    <row r="257" spans="10:10" ht="15" customHeight="1" x14ac:dyDescent="0.3">
      <c r="J257" s="23">
        <f>IF($D257="LSF čempionatas",IFERROR($E257/SUMIFS(Parametrai!$B$2:$B$21,Parametrai!$A$2:$A$21,$A257)*SUMIFS(Parametrai!$E$2:$E$21,Parametrai!$A$2:$A$21,$A257),0),IF($D257="Kitos varžybos, deklaruotos reitingui",IFERROR($F257/MAX($G257,SUMIFS(Parametrai!$F$2:$F$21,Parametrai!$A$2:$A$21,$A257))*IF($H257="",1,$H257),0),IF($D257="Susikertančios su Lietuvos čempionatu",0.95*SUMIFS($J$2:$J$500,$B$2:$B$500,$B257,$A$2:$A$500,$A257-1),IF($D257="Papildomi (R+)",IFERROR(MAX(0,($F257-900)/1000),0),0))))</f>
        <v>0</v>
      </c>
    </row>
    <row r="258" spans="10:10" ht="15" customHeight="1" x14ac:dyDescent="0.3">
      <c r="J258" s="23">
        <f>IF($D258="LSF čempionatas",IFERROR($E258/SUMIFS(Parametrai!$B$2:$B$21,Parametrai!$A$2:$A$21,$A258)*SUMIFS(Parametrai!$E$2:$E$21,Parametrai!$A$2:$A$21,$A258),0),IF($D258="Kitos varžybos, deklaruotos reitingui",IFERROR($F258/MAX($G258,SUMIFS(Parametrai!$F$2:$F$21,Parametrai!$A$2:$A$21,$A258))*IF($H258="",1,$H258),0),IF($D258="Susikertančios su Lietuvos čempionatu",0.95*SUMIFS($J$2:$J$500,$B$2:$B$500,$B258,$A$2:$A$500,$A258-1),IF($D258="Papildomi (R+)",IFERROR(MAX(0,($F258-900)/1000),0),0))))</f>
        <v>0</v>
      </c>
    </row>
    <row r="259" spans="10:10" ht="15" customHeight="1" x14ac:dyDescent="0.3">
      <c r="J259" s="23">
        <f>IF($D259="LSF čempionatas",IFERROR($E259/SUMIFS(Parametrai!$B$2:$B$21,Parametrai!$A$2:$A$21,$A259)*SUMIFS(Parametrai!$E$2:$E$21,Parametrai!$A$2:$A$21,$A259),0),IF($D259="Kitos varžybos, deklaruotos reitingui",IFERROR($F259/MAX($G259,SUMIFS(Parametrai!$F$2:$F$21,Parametrai!$A$2:$A$21,$A259))*IF($H259="",1,$H259),0),IF($D259="Susikertančios su Lietuvos čempionatu",0.95*SUMIFS($J$2:$J$500,$B$2:$B$500,$B259,$A$2:$A$500,$A259-1),IF($D259="Papildomi (R+)",IFERROR(MAX(0,($F259-900)/1000),0),0))))</f>
        <v>0</v>
      </c>
    </row>
    <row r="260" spans="10:10" ht="15" customHeight="1" x14ac:dyDescent="0.3">
      <c r="J260" s="23">
        <f>IF($D260="LSF čempionatas",IFERROR($E260/SUMIFS(Parametrai!$B$2:$B$21,Parametrai!$A$2:$A$21,$A260)*SUMIFS(Parametrai!$E$2:$E$21,Parametrai!$A$2:$A$21,$A260),0),IF($D260="Kitos varžybos, deklaruotos reitingui",IFERROR($F260/MAX($G260,SUMIFS(Parametrai!$F$2:$F$21,Parametrai!$A$2:$A$21,$A260))*IF($H260="",1,$H260),0),IF($D260="Susikertančios su Lietuvos čempionatu",0.95*SUMIFS($J$2:$J$500,$B$2:$B$500,$B260,$A$2:$A$500,$A260-1),IF($D260="Papildomi (R+)",IFERROR(MAX(0,($F260-900)/1000),0),0))))</f>
        <v>0</v>
      </c>
    </row>
    <row r="261" spans="10:10" ht="15" customHeight="1" x14ac:dyDescent="0.3">
      <c r="J261" s="23">
        <f>IF($D261="LSF čempionatas",IFERROR($E261/SUMIFS(Parametrai!$B$2:$B$21,Parametrai!$A$2:$A$21,$A261)*SUMIFS(Parametrai!$E$2:$E$21,Parametrai!$A$2:$A$21,$A261),0),IF($D261="Kitos varžybos, deklaruotos reitingui",IFERROR($F261/MAX($G261,SUMIFS(Parametrai!$F$2:$F$21,Parametrai!$A$2:$A$21,$A261))*IF($H261="",1,$H261),0),IF($D261="Susikertančios su Lietuvos čempionatu",0.95*SUMIFS($J$2:$J$500,$B$2:$B$500,$B261,$A$2:$A$500,$A261-1),IF($D261="Papildomi (R+)",IFERROR(MAX(0,($F261-900)/1000),0),0))))</f>
        <v>0</v>
      </c>
    </row>
    <row r="262" spans="10:10" ht="15" customHeight="1" x14ac:dyDescent="0.3">
      <c r="J262" s="23">
        <f>IF($D262="LSF čempionatas",IFERROR($E262/SUMIFS(Parametrai!$B$2:$B$21,Parametrai!$A$2:$A$21,$A262)*SUMIFS(Parametrai!$E$2:$E$21,Parametrai!$A$2:$A$21,$A262),0),IF($D262="Kitos varžybos, deklaruotos reitingui",IFERROR($F262/MAX($G262,SUMIFS(Parametrai!$F$2:$F$21,Parametrai!$A$2:$A$21,$A262))*IF($H262="",1,$H262),0),IF($D262="Susikertančios su Lietuvos čempionatu",0.95*SUMIFS($J$2:$J$500,$B$2:$B$500,$B262,$A$2:$A$500,$A262-1),IF($D262="Papildomi (R+)",IFERROR(MAX(0,($F262-900)/1000),0),0))))</f>
        <v>0</v>
      </c>
    </row>
    <row r="263" spans="10:10" ht="15" customHeight="1" x14ac:dyDescent="0.3">
      <c r="J263" s="23">
        <f>IF($D263="LSF čempionatas",IFERROR($E263/SUMIFS(Parametrai!$B$2:$B$21,Parametrai!$A$2:$A$21,$A263)*SUMIFS(Parametrai!$E$2:$E$21,Parametrai!$A$2:$A$21,$A263),0),IF($D263="Kitos varžybos, deklaruotos reitingui",IFERROR($F263/MAX($G263,SUMIFS(Parametrai!$F$2:$F$21,Parametrai!$A$2:$A$21,$A263))*IF($H263="",1,$H263),0),IF($D263="Susikertančios su Lietuvos čempionatu",0.95*SUMIFS($J$2:$J$500,$B$2:$B$500,$B263,$A$2:$A$500,$A263-1),IF($D263="Papildomi (R+)",IFERROR(MAX(0,($F263-900)/1000),0),0))))</f>
        <v>0</v>
      </c>
    </row>
    <row r="264" spans="10:10" ht="15" customHeight="1" x14ac:dyDescent="0.3">
      <c r="J264" s="23">
        <f>IF($D264="LSF čempionatas",IFERROR($E264/SUMIFS(Parametrai!$B$2:$B$21,Parametrai!$A$2:$A$21,$A264)*SUMIFS(Parametrai!$E$2:$E$21,Parametrai!$A$2:$A$21,$A264),0),IF($D264="Kitos varžybos, deklaruotos reitingui",IFERROR($F264/MAX($G264,SUMIFS(Parametrai!$F$2:$F$21,Parametrai!$A$2:$A$21,$A264))*IF($H264="",1,$H264),0),IF($D264="Susikertančios su Lietuvos čempionatu",0.95*SUMIFS($J$2:$J$500,$B$2:$B$500,$B264,$A$2:$A$500,$A264-1),IF($D264="Papildomi (R+)",IFERROR(MAX(0,($F264-900)/1000),0),0))))</f>
        <v>0</v>
      </c>
    </row>
    <row r="265" spans="10:10" ht="15" customHeight="1" x14ac:dyDescent="0.3">
      <c r="J265" s="23">
        <f>IF($D265="LSF čempionatas",IFERROR($E265/SUMIFS(Parametrai!$B$2:$B$21,Parametrai!$A$2:$A$21,$A265)*SUMIFS(Parametrai!$E$2:$E$21,Parametrai!$A$2:$A$21,$A265),0),IF($D265="Kitos varžybos, deklaruotos reitingui",IFERROR($F265/MAX($G265,SUMIFS(Parametrai!$F$2:$F$21,Parametrai!$A$2:$A$21,$A265))*IF($H265="",1,$H265),0),IF($D265="Susikertančios su Lietuvos čempionatu",0.95*SUMIFS($J$2:$J$500,$B$2:$B$500,$B265,$A$2:$A$500,$A265-1),IF($D265="Papildomi (R+)",IFERROR(MAX(0,($F265-900)/1000),0),0))))</f>
        <v>0</v>
      </c>
    </row>
    <row r="266" spans="10:10" ht="15" customHeight="1" x14ac:dyDescent="0.3">
      <c r="J266" s="23">
        <f>IF($D266="LSF čempionatas",IFERROR($E266/SUMIFS(Parametrai!$B$2:$B$21,Parametrai!$A$2:$A$21,$A266)*SUMIFS(Parametrai!$E$2:$E$21,Parametrai!$A$2:$A$21,$A266),0),IF($D266="Kitos varžybos, deklaruotos reitingui",IFERROR($F266/MAX($G266,SUMIFS(Parametrai!$F$2:$F$21,Parametrai!$A$2:$A$21,$A266))*IF($H266="",1,$H266),0),IF($D266="Susikertančios su Lietuvos čempionatu",0.95*SUMIFS($J$2:$J$500,$B$2:$B$500,$B266,$A$2:$A$500,$A266-1),IF($D266="Papildomi (R+)",IFERROR(MAX(0,($F266-900)/1000),0),0))))</f>
        <v>0</v>
      </c>
    </row>
    <row r="267" spans="10:10" ht="15" customHeight="1" x14ac:dyDescent="0.3">
      <c r="J267" s="23">
        <f>IF($D267="LSF čempionatas",IFERROR($E267/SUMIFS(Parametrai!$B$2:$B$21,Parametrai!$A$2:$A$21,$A267)*SUMIFS(Parametrai!$E$2:$E$21,Parametrai!$A$2:$A$21,$A267),0),IF($D267="Kitos varžybos, deklaruotos reitingui",IFERROR($F267/MAX($G267,SUMIFS(Parametrai!$F$2:$F$21,Parametrai!$A$2:$A$21,$A267))*IF($H267="",1,$H267),0),IF($D267="Susikertančios su Lietuvos čempionatu",0.95*SUMIFS($J$2:$J$500,$B$2:$B$500,$B267,$A$2:$A$500,$A267-1),IF($D267="Papildomi (R+)",IFERROR(MAX(0,($F267-900)/1000),0),0))))</f>
        <v>0</v>
      </c>
    </row>
    <row r="268" spans="10:10" ht="15" customHeight="1" x14ac:dyDescent="0.3">
      <c r="J268" s="23">
        <f>IF($D268="LSF čempionatas",IFERROR($E268/SUMIFS(Parametrai!$B$2:$B$21,Parametrai!$A$2:$A$21,$A268)*SUMIFS(Parametrai!$E$2:$E$21,Parametrai!$A$2:$A$21,$A268),0),IF($D268="Kitos varžybos, deklaruotos reitingui",IFERROR($F268/MAX($G268,SUMIFS(Parametrai!$F$2:$F$21,Parametrai!$A$2:$A$21,$A268))*IF($H268="",1,$H268),0),IF($D268="Susikertančios su Lietuvos čempionatu",0.95*SUMIFS($J$2:$J$500,$B$2:$B$500,$B268,$A$2:$A$500,$A268-1),IF($D268="Papildomi (R+)",IFERROR(MAX(0,($F268-900)/1000),0),0))))</f>
        <v>0</v>
      </c>
    </row>
    <row r="269" spans="10:10" ht="15" customHeight="1" x14ac:dyDescent="0.3">
      <c r="J269" s="23">
        <f>IF($D269="LSF čempionatas",IFERROR($E269/SUMIFS(Parametrai!$B$2:$B$21,Parametrai!$A$2:$A$21,$A269)*SUMIFS(Parametrai!$E$2:$E$21,Parametrai!$A$2:$A$21,$A269),0),IF($D269="Kitos varžybos, deklaruotos reitingui",IFERROR($F269/MAX($G269,SUMIFS(Parametrai!$F$2:$F$21,Parametrai!$A$2:$A$21,$A269))*IF($H269="",1,$H269),0),IF($D269="Susikertančios su Lietuvos čempionatu",0.95*SUMIFS($J$2:$J$500,$B$2:$B$500,$B269,$A$2:$A$500,$A269-1),IF($D269="Papildomi (R+)",IFERROR(MAX(0,($F269-900)/1000),0),0))))</f>
        <v>0</v>
      </c>
    </row>
    <row r="270" spans="10:10" ht="15" customHeight="1" x14ac:dyDescent="0.3">
      <c r="J270" s="23">
        <f>IF($D270="LSF čempionatas",IFERROR($E270/SUMIFS(Parametrai!$B$2:$B$21,Parametrai!$A$2:$A$21,$A270)*SUMIFS(Parametrai!$E$2:$E$21,Parametrai!$A$2:$A$21,$A270),0),IF($D270="Kitos varžybos, deklaruotos reitingui",IFERROR($F270/MAX($G270,SUMIFS(Parametrai!$F$2:$F$21,Parametrai!$A$2:$A$21,$A270))*IF($H270="",1,$H270),0),IF($D270="Susikertančios su Lietuvos čempionatu",0.95*SUMIFS($J$2:$J$500,$B$2:$B$500,$B270,$A$2:$A$500,$A270-1),IF($D270="Papildomi (R+)",IFERROR(MAX(0,($F270-900)/1000),0),0))))</f>
        <v>0</v>
      </c>
    </row>
    <row r="271" spans="10:10" ht="15" customHeight="1" x14ac:dyDescent="0.3">
      <c r="J271" s="23">
        <f>IF($D271="LSF čempionatas",IFERROR($E271/SUMIFS(Parametrai!$B$2:$B$21,Parametrai!$A$2:$A$21,$A271)*SUMIFS(Parametrai!$E$2:$E$21,Parametrai!$A$2:$A$21,$A271),0),IF($D271="Kitos varžybos, deklaruotos reitingui",IFERROR($F271/MAX($G271,SUMIFS(Parametrai!$F$2:$F$21,Parametrai!$A$2:$A$21,$A271))*IF($H271="",1,$H271),0),IF($D271="Susikertančios su Lietuvos čempionatu",0.95*SUMIFS($J$2:$J$500,$B$2:$B$500,$B271,$A$2:$A$500,$A271-1),IF($D271="Papildomi (R+)",IFERROR(MAX(0,($F271-900)/1000),0),0))))</f>
        <v>0</v>
      </c>
    </row>
    <row r="272" spans="10:10" ht="15" customHeight="1" x14ac:dyDescent="0.3">
      <c r="J272" s="23">
        <f>IF($D272="LSF čempionatas",IFERROR($E272/SUMIFS(Parametrai!$B$2:$B$21,Parametrai!$A$2:$A$21,$A272)*SUMIFS(Parametrai!$E$2:$E$21,Parametrai!$A$2:$A$21,$A272),0),IF($D272="Kitos varžybos, deklaruotos reitingui",IFERROR($F272/MAX($G272,SUMIFS(Parametrai!$F$2:$F$21,Parametrai!$A$2:$A$21,$A272))*IF($H272="",1,$H272),0),IF($D272="Susikertančios su Lietuvos čempionatu",0.95*SUMIFS($J$2:$J$500,$B$2:$B$500,$B272,$A$2:$A$500,$A272-1),IF($D272="Papildomi (R+)",IFERROR(MAX(0,($F272-900)/1000),0),0))))</f>
        <v>0</v>
      </c>
    </row>
    <row r="273" spans="10:10" ht="15" customHeight="1" x14ac:dyDescent="0.3">
      <c r="J273" s="23">
        <f>IF($D273="LSF čempionatas",IFERROR($E273/SUMIFS(Parametrai!$B$2:$B$21,Parametrai!$A$2:$A$21,$A273)*SUMIFS(Parametrai!$E$2:$E$21,Parametrai!$A$2:$A$21,$A273),0),IF($D273="Kitos varžybos, deklaruotos reitingui",IFERROR($F273/MAX($G273,SUMIFS(Parametrai!$F$2:$F$21,Parametrai!$A$2:$A$21,$A273))*IF($H273="",1,$H273),0),IF($D273="Susikertančios su Lietuvos čempionatu",0.95*SUMIFS($J$2:$J$500,$B$2:$B$500,$B273,$A$2:$A$500,$A273-1),IF($D273="Papildomi (R+)",IFERROR(MAX(0,($F273-900)/1000),0),0))))</f>
        <v>0</v>
      </c>
    </row>
    <row r="274" spans="10:10" ht="15" customHeight="1" x14ac:dyDescent="0.3">
      <c r="J274" s="23">
        <f>IF($D274="LSF čempionatas",IFERROR($E274/SUMIFS(Parametrai!$B$2:$B$21,Parametrai!$A$2:$A$21,$A274)*SUMIFS(Parametrai!$E$2:$E$21,Parametrai!$A$2:$A$21,$A274),0),IF($D274="Kitos varžybos, deklaruotos reitingui",IFERROR($F274/MAX($G274,SUMIFS(Parametrai!$F$2:$F$21,Parametrai!$A$2:$A$21,$A274))*IF($H274="",1,$H274),0),IF($D274="Susikertančios su Lietuvos čempionatu",0.95*SUMIFS($J$2:$J$500,$B$2:$B$500,$B274,$A$2:$A$500,$A274-1),IF($D274="Papildomi (R+)",IFERROR(MAX(0,($F274-900)/1000),0),0))))</f>
        <v>0</v>
      </c>
    </row>
    <row r="275" spans="10:10" ht="15" customHeight="1" x14ac:dyDescent="0.3">
      <c r="J275" s="23">
        <f>IF($D275="LSF čempionatas",IFERROR($E275/SUMIFS(Parametrai!$B$2:$B$21,Parametrai!$A$2:$A$21,$A275)*SUMIFS(Parametrai!$E$2:$E$21,Parametrai!$A$2:$A$21,$A275),0),IF($D275="Kitos varžybos, deklaruotos reitingui",IFERROR($F275/MAX($G275,SUMIFS(Parametrai!$F$2:$F$21,Parametrai!$A$2:$A$21,$A275))*IF($H275="",1,$H275),0),IF($D275="Susikertančios su Lietuvos čempionatu",0.95*SUMIFS($J$2:$J$500,$B$2:$B$500,$B275,$A$2:$A$500,$A275-1),IF($D275="Papildomi (R+)",IFERROR(MAX(0,($F275-900)/1000),0),0))))</f>
        <v>0</v>
      </c>
    </row>
    <row r="276" spans="10:10" ht="15" customHeight="1" x14ac:dyDescent="0.3">
      <c r="J276" s="23">
        <f>IF($D276="LSF čempionatas",IFERROR($E276/SUMIFS(Parametrai!$B$2:$B$21,Parametrai!$A$2:$A$21,$A276)*SUMIFS(Parametrai!$E$2:$E$21,Parametrai!$A$2:$A$21,$A276),0),IF($D276="Kitos varžybos, deklaruotos reitingui",IFERROR($F276/MAX($G276,SUMIFS(Parametrai!$F$2:$F$21,Parametrai!$A$2:$A$21,$A276))*IF($H276="",1,$H276),0),IF($D276="Susikertančios su Lietuvos čempionatu",0.95*SUMIFS($J$2:$J$500,$B$2:$B$500,$B276,$A$2:$A$500,$A276-1),IF($D276="Papildomi (R+)",IFERROR(MAX(0,($F276-900)/1000),0),0))))</f>
        <v>0</v>
      </c>
    </row>
    <row r="277" spans="10:10" ht="15" customHeight="1" x14ac:dyDescent="0.3">
      <c r="J277" s="23">
        <f>IF($D277="LSF čempionatas",IFERROR($E277/SUMIFS(Parametrai!$B$2:$B$21,Parametrai!$A$2:$A$21,$A277)*SUMIFS(Parametrai!$E$2:$E$21,Parametrai!$A$2:$A$21,$A277),0),IF($D277="Kitos varžybos, deklaruotos reitingui",IFERROR($F277/MAX($G277,SUMIFS(Parametrai!$F$2:$F$21,Parametrai!$A$2:$A$21,$A277))*IF($H277="",1,$H277),0),IF($D277="Susikertančios su Lietuvos čempionatu",0.95*SUMIFS($J$2:$J$500,$B$2:$B$500,$B277,$A$2:$A$500,$A277-1),IF($D277="Papildomi (R+)",IFERROR(MAX(0,($F277-900)/1000),0),0))))</f>
        <v>0</v>
      </c>
    </row>
    <row r="278" spans="10:10" ht="15" customHeight="1" x14ac:dyDescent="0.3">
      <c r="J278" s="23">
        <f>IF($D278="LSF čempionatas",IFERROR($E278/SUMIFS(Parametrai!$B$2:$B$21,Parametrai!$A$2:$A$21,$A278)*SUMIFS(Parametrai!$E$2:$E$21,Parametrai!$A$2:$A$21,$A278),0),IF($D278="Kitos varžybos, deklaruotos reitingui",IFERROR($F278/MAX($G278,SUMIFS(Parametrai!$F$2:$F$21,Parametrai!$A$2:$A$21,$A278))*IF($H278="",1,$H278),0),IF($D278="Susikertančios su Lietuvos čempionatu",0.95*SUMIFS($J$2:$J$500,$B$2:$B$500,$B278,$A$2:$A$500,$A278-1),IF($D278="Papildomi (R+)",IFERROR(MAX(0,($F278-900)/1000),0),0))))</f>
        <v>0</v>
      </c>
    </row>
    <row r="279" spans="10:10" ht="15" customHeight="1" x14ac:dyDescent="0.3">
      <c r="J279" s="23">
        <f>IF($D279="LSF čempionatas",IFERROR($E279/SUMIFS(Parametrai!$B$2:$B$21,Parametrai!$A$2:$A$21,$A279)*SUMIFS(Parametrai!$E$2:$E$21,Parametrai!$A$2:$A$21,$A279),0),IF($D279="Kitos varžybos, deklaruotos reitingui",IFERROR($F279/MAX($G279,SUMIFS(Parametrai!$F$2:$F$21,Parametrai!$A$2:$A$21,$A279))*IF($H279="",1,$H279),0),IF($D279="Susikertančios su Lietuvos čempionatu",0.95*SUMIFS($J$2:$J$500,$B$2:$B$500,$B279,$A$2:$A$500,$A279-1),IF($D279="Papildomi (R+)",IFERROR(MAX(0,($F279-900)/1000),0),0))))</f>
        <v>0</v>
      </c>
    </row>
    <row r="280" spans="10:10" ht="15" customHeight="1" x14ac:dyDescent="0.3">
      <c r="J280" s="23">
        <f>IF($D280="LSF čempionatas",IFERROR($E280/SUMIFS(Parametrai!$B$2:$B$21,Parametrai!$A$2:$A$21,$A280)*SUMIFS(Parametrai!$E$2:$E$21,Parametrai!$A$2:$A$21,$A280),0),IF($D280="Kitos varžybos, deklaruotos reitingui",IFERROR($F280/MAX($G280,SUMIFS(Parametrai!$F$2:$F$21,Parametrai!$A$2:$A$21,$A280))*IF($H280="",1,$H280),0),IF($D280="Susikertančios su Lietuvos čempionatu",0.95*SUMIFS($J$2:$J$500,$B$2:$B$500,$B280,$A$2:$A$500,$A280-1),IF($D280="Papildomi (R+)",IFERROR(MAX(0,($F280-900)/1000),0),0))))</f>
        <v>0</v>
      </c>
    </row>
    <row r="281" spans="10:10" ht="15" customHeight="1" x14ac:dyDescent="0.3">
      <c r="J281" s="23">
        <f>IF($D281="LSF čempionatas",IFERROR($E281/SUMIFS(Parametrai!$B$2:$B$21,Parametrai!$A$2:$A$21,$A281)*SUMIFS(Parametrai!$E$2:$E$21,Parametrai!$A$2:$A$21,$A281),0),IF($D281="Kitos varžybos, deklaruotos reitingui",IFERROR($F281/MAX($G281,SUMIFS(Parametrai!$F$2:$F$21,Parametrai!$A$2:$A$21,$A281))*IF($H281="",1,$H281),0),IF($D281="Susikertančios su Lietuvos čempionatu",0.95*SUMIFS($J$2:$J$500,$B$2:$B$500,$B281,$A$2:$A$500,$A281-1),IF($D281="Papildomi (R+)",IFERROR(MAX(0,($F281-900)/1000),0),0))))</f>
        <v>0</v>
      </c>
    </row>
    <row r="282" spans="10:10" ht="15" customHeight="1" x14ac:dyDescent="0.3">
      <c r="J282" s="23">
        <f>IF($D282="LSF čempionatas",IFERROR($E282/SUMIFS(Parametrai!$B$2:$B$21,Parametrai!$A$2:$A$21,$A282)*SUMIFS(Parametrai!$E$2:$E$21,Parametrai!$A$2:$A$21,$A282),0),IF($D282="Kitos varžybos, deklaruotos reitingui",IFERROR($F282/MAX($G282,SUMIFS(Parametrai!$F$2:$F$21,Parametrai!$A$2:$A$21,$A282))*IF($H282="",1,$H282),0),IF($D282="Susikertančios su Lietuvos čempionatu",0.95*SUMIFS($J$2:$J$500,$B$2:$B$500,$B282,$A$2:$A$500,$A282-1),IF($D282="Papildomi (R+)",IFERROR(MAX(0,($F282-900)/1000),0),0))))</f>
        <v>0</v>
      </c>
    </row>
    <row r="283" spans="10:10" ht="15" customHeight="1" x14ac:dyDescent="0.3">
      <c r="J283" s="23">
        <f>IF($D283="LSF čempionatas",IFERROR($E283/SUMIFS(Parametrai!$B$2:$B$21,Parametrai!$A$2:$A$21,$A283)*SUMIFS(Parametrai!$E$2:$E$21,Parametrai!$A$2:$A$21,$A283),0),IF($D283="Kitos varžybos, deklaruotos reitingui",IFERROR($F283/MAX($G283,SUMIFS(Parametrai!$F$2:$F$21,Parametrai!$A$2:$A$21,$A283))*IF($H283="",1,$H283),0),IF($D283="Susikertančios su Lietuvos čempionatu",0.95*SUMIFS($J$2:$J$500,$B$2:$B$500,$B283,$A$2:$A$500,$A283-1),IF($D283="Papildomi (R+)",IFERROR(MAX(0,($F283-900)/1000),0),0))))</f>
        <v>0</v>
      </c>
    </row>
    <row r="284" spans="10:10" ht="15" customHeight="1" x14ac:dyDescent="0.3">
      <c r="J284" s="23">
        <f>IF($D284="LSF čempionatas",IFERROR($E284/SUMIFS(Parametrai!$B$2:$B$21,Parametrai!$A$2:$A$21,$A284)*SUMIFS(Parametrai!$E$2:$E$21,Parametrai!$A$2:$A$21,$A284),0),IF($D284="Kitos varžybos, deklaruotos reitingui",IFERROR($F284/MAX($G284,SUMIFS(Parametrai!$F$2:$F$21,Parametrai!$A$2:$A$21,$A284))*IF($H284="",1,$H284),0),IF($D284="Susikertančios su Lietuvos čempionatu",0.95*SUMIFS($J$2:$J$500,$B$2:$B$500,$B284,$A$2:$A$500,$A284-1),IF($D284="Papildomi (R+)",IFERROR(MAX(0,($F284-900)/1000),0),0))))</f>
        <v>0</v>
      </c>
    </row>
    <row r="285" spans="10:10" ht="15" customHeight="1" x14ac:dyDescent="0.3">
      <c r="J285" s="23">
        <f>IF($D285="LSF čempionatas",IFERROR($E285/SUMIFS(Parametrai!$B$2:$B$21,Parametrai!$A$2:$A$21,$A285)*SUMIFS(Parametrai!$E$2:$E$21,Parametrai!$A$2:$A$21,$A285),0),IF($D285="Kitos varžybos, deklaruotos reitingui",IFERROR($F285/MAX($G285,SUMIFS(Parametrai!$F$2:$F$21,Parametrai!$A$2:$A$21,$A285))*IF($H285="",1,$H285),0),IF($D285="Susikertančios su Lietuvos čempionatu",0.95*SUMIFS($J$2:$J$500,$B$2:$B$500,$B285,$A$2:$A$500,$A285-1),IF($D285="Papildomi (R+)",IFERROR(MAX(0,($F285-900)/1000),0),0))))</f>
        <v>0</v>
      </c>
    </row>
    <row r="286" spans="10:10" ht="15" customHeight="1" x14ac:dyDescent="0.3">
      <c r="J286" s="23">
        <f>IF($D286="LSF čempionatas",IFERROR($E286/SUMIFS(Parametrai!$B$2:$B$21,Parametrai!$A$2:$A$21,$A286)*SUMIFS(Parametrai!$E$2:$E$21,Parametrai!$A$2:$A$21,$A286),0),IF($D286="Kitos varžybos, deklaruotos reitingui",IFERROR($F286/MAX($G286,SUMIFS(Parametrai!$F$2:$F$21,Parametrai!$A$2:$A$21,$A286))*IF($H286="",1,$H286),0),IF($D286="Susikertančios su Lietuvos čempionatu",0.95*SUMIFS($J$2:$J$500,$B$2:$B$500,$B286,$A$2:$A$500,$A286-1),IF($D286="Papildomi (R+)",IFERROR(MAX(0,($F286-900)/1000),0),0))))</f>
        <v>0</v>
      </c>
    </row>
    <row r="287" spans="10:10" ht="15" customHeight="1" x14ac:dyDescent="0.3">
      <c r="J287" s="23">
        <f>IF($D287="LSF čempionatas",IFERROR($E287/SUMIFS(Parametrai!$B$2:$B$21,Parametrai!$A$2:$A$21,$A287)*SUMIFS(Parametrai!$E$2:$E$21,Parametrai!$A$2:$A$21,$A287),0),IF($D287="Kitos varžybos, deklaruotos reitingui",IFERROR($F287/MAX($G287,SUMIFS(Parametrai!$F$2:$F$21,Parametrai!$A$2:$A$21,$A287))*IF($H287="",1,$H287),0),IF($D287="Susikertančios su Lietuvos čempionatu",0.95*SUMIFS($J$2:$J$500,$B$2:$B$500,$B287,$A$2:$A$500,$A287-1),IF($D287="Papildomi (R+)",IFERROR(MAX(0,($F287-900)/1000),0),0))))</f>
        <v>0</v>
      </c>
    </row>
    <row r="288" spans="10:10" ht="15" customHeight="1" x14ac:dyDescent="0.3">
      <c r="J288" s="23">
        <f>IF($D288="LSF čempionatas",IFERROR($E288/SUMIFS(Parametrai!$B$2:$B$21,Parametrai!$A$2:$A$21,$A288)*SUMIFS(Parametrai!$E$2:$E$21,Parametrai!$A$2:$A$21,$A288),0),IF($D288="Kitos varžybos, deklaruotos reitingui",IFERROR($F288/MAX($G288,SUMIFS(Parametrai!$F$2:$F$21,Parametrai!$A$2:$A$21,$A288))*IF($H288="",1,$H288),0),IF($D288="Susikertančios su Lietuvos čempionatu",0.95*SUMIFS($J$2:$J$500,$B$2:$B$500,$B288,$A$2:$A$500,$A288-1),IF($D288="Papildomi (R+)",IFERROR(MAX(0,($F288-900)/1000),0),0))))</f>
        <v>0</v>
      </c>
    </row>
    <row r="289" spans="10:10" ht="15" customHeight="1" x14ac:dyDescent="0.3">
      <c r="J289" s="23">
        <f>IF($D289="LSF čempionatas",IFERROR($E289/SUMIFS(Parametrai!$B$2:$B$21,Parametrai!$A$2:$A$21,$A289)*SUMIFS(Parametrai!$E$2:$E$21,Parametrai!$A$2:$A$21,$A289),0),IF($D289="Kitos varžybos, deklaruotos reitingui",IFERROR($F289/MAX($G289,SUMIFS(Parametrai!$F$2:$F$21,Parametrai!$A$2:$A$21,$A289))*IF($H289="",1,$H289),0),IF($D289="Susikertančios su Lietuvos čempionatu",0.95*SUMIFS($J$2:$J$500,$B$2:$B$500,$B289,$A$2:$A$500,$A289-1),IF($D289="Papildomi (R+)",IFERROR(MAX(0,($F289-900)/1000),0),0))))</f>
        <v>0</v>
      </c>
    </row>
    <row r="290" spans="10:10" ht="15" customHeight="1" x14ac:dyDescent="0.3">
      <c r="J290" s="23">
        <f>IF($D290="LSF čempionatas",IFERROR($E290/SUMIFS(Parametrai!$B$2:$B$21,Parametrai!$A$2:$A$21,$A290)*SUMIFS(Parametrai!$E$2:$E$21,Parametrai!$A$2:$A$21,$A290),0),IF($D290="Kitos varžybos, deklaruotos reitingui",IFERROR($F290/MAX($G290,SUMIFS(Parametrai!$F$2:$F$21,Parametrai!$A$2:$A$21,$A290))*IF($H290="",1,$H290),0),IF($D290="Susikertančios su Lietuvos čempionatu",0.95*SUMIFS($J$2:$J$500,$B$2:$B$500,$B290,$A$2:$A$500,$A290-1),IF($D290="Papildomi (R+)",IFERROR(MAX(0,($F290-900)/1000),0),0))))</f>
        <v>0</v>
      </c>
    </row>
    <row r="291" spans="10:10" ht="15" customHeight="1" x14ac:dyDescent="0.3">
      <c r="J291" s="23">
        <f>IF($D291="LSF čempionatas",IFERROR($E291/SUMIFS(Parametrai!$B$2:$B$21,Parametrai!$A$2:$A$21,$A291)*SUMIFS(Parametrai!$E$2:$E$21,Parametrai!$A$2:$A$21,$A291),0),IF($D291="Kitos varžybos, deklaruotos reitingui",IFERROR($F291/MAX($G291,SUMIFS(Parametrai!$F$2:$F$21,Parametrai!$A$2:$A$21,$A291))*IF($H291="",1,$H291),0),IF($D291="Susikertančios su Lietuvos čempionatu",0.95*SUMIFS($J$2:$J$500,$B$2:$B$500,$B291,$A$2:$A$500,$A291-1),IF($D291="Papildomi (R+)",IFERROR(MAX(0,($F291-900)/1000),0),0))))</f>
        <v>0</v>
      </c>
    </row>
    <row r="292" spans="10:10" ht="15" customHeight="1" x14ac:dyDescent="0.3">
      <c r="J292" s="23">
        <f>IF($D292="LSF čempionatas",IFERROR($E292/SUMIFS(Parametrai!$B$2:$B$21,Parametrai!$A$2:$A$21,$A292)*SUMIFS(Parametrai!$E$2:$E$21,Parametrai!$A$2:$A$21,$A292),0),IF($D292="Kitos varžybos, deklaruotos reitingui",IFERROR($F292/MAX($G292,SUMIFS(Parametrai!$F$2:$F$21,Parametrai!$A$2:$A$21,$A292))*IF($H292="",1,$H292),0),IF($D292="Susikertančios su Lietuvos čempionatu",0.95*SUMIFS($J$2:$J$500,$B$2:$B$500,$B292,$A$2:$A$500,$A292-1),IF($D292="Papildomi (R+)",IFERROR(MAX(0,($F292-900)/1000),0),0))))</f>
        <v>0</v>
      </c>
    </row>
    <row r="293" spans="10:10" ht="15" customHeight="1" x14ac:dyDescent="0.3">
      <c r="J293" s="23">
        <f>IF($D293="LSF čempionatas",IFERROR($E293/SUMIFS(Parametrai!$B$2:$B$21,Parametrai!$A$2:$A$21,$A293)*SUMIFS(Parametrai!$E$2:$E$21,Parametrai!$A$2:$A$21,$A293),0),IF($D293="Kitos varžybos, deklaruotos reitingui",IFERROR($F293/MAX($G293,SUMIFS(Parametrai!$F$2:$F$21,Parametrai!$A$2:$A$21,$A293))*IF($H293="",1,$H293),0),IF($D293="Susikertančios su Lietuvos čempionatu",0.95*SUMIFS($J$2:$J$500,$B$2:$B$500,$B293,$A$2:$A$500,$A293-1),IF($D293="Papildomi (R+)",IFERROR(MAX(0,($F293-900)/1000),0),0))))</f>
        <v>0</v>
      </c>
    </row>
    <row r="294" spans="10:10" ht="15" customHeight="1" x14ac:dyDescent="0.3">
      <c r="J294" s="23">
        <f>IF($D294="LSF čempionatas",IFERROR($E294/SUMIFS(Parametrai!$B$2:$B$21,Parametrai!$A$2:$A$21,$A294)*SUMIFS(Parametrai!$E$2:$E$21,Parametrai!$A$2:$A$21,$A294),0),IF($D294="Kitos varžybos, deklaruotos reitingui",IFERROR($F294/MAX($G294,SUMIFS(Parametrai!$F$2:$F$21,Parametrai!$A$2:$A$21,$A294))*IF($H294="",1,$H294),0),IF($D294="Susikertančios su Lietuvos čempionatu",0.95*SUMIFS($J$2:$J$500,$B$2:$B$500,$B294,$A$2:$A$500,$A294-1),IF($D294="Papildomi (R+)",IFERROR(MAX(0,($F294-900)/1000),0),0))))</f>
        <v>0</v>
      </c>
    </row>
    <row r="295" spans="10:10" ht="15" customHeight="1" x14ac:dyDescent="0.3">
      <c r="J295" s="23">
        <f>IF($D295="LSF čempionatas",IFERROR($E295/SUMIFS(Parametrai!$B$2:$B$21,Parametrai!$A$2:$A$21,$A295)*SUMIFS(Parametrai!$E$2:$E$21,Parametrai!$A$2:$A$21,$A295),0),IF($D295="Kitos varžybos, deklaruotos reitingui",IFERROR($F295/MAX($G295,SUMIFS(Parametrai!$F$2:$F$21,Parametrai!$A$2:$A$21,$A295))*IF($H295="",1,$H295),0),IF($D295="Susikertančios su Lietuvos čempionatu",0.95*SUMIFS($J$2:$J$500,$B$2:$B$500,$B295,$A$2:$A$500,$A295-1),IF($D295="Papildomi (R+)",IFERROR(MAX(0,($F295-900)/1000),0),0))))</f>
        <v>0</v>
      </c>
    </row>
    <row r="296" spans="10:10" ht="15" customHeight="1" x14ac:dyDescent="0.3">
      <c r="J296" s="23">
        <f>IF($D296="LSF čempionatas",IFERROR($E296/SUMIFS(Parametrai!$B$2:$B$21,Parametrai!$A$2:$A$21,$A296)*SUMIFS(Parametrai!$E$2:$E$21,Parametrai!$A$2:$A$21,$A296),0),IF($D296="Kitos varžybos, deklaruotos reitingui",IFERROR($F296/MAX($G296,SUMIFS(Parametrai!$F$2:$F$21,Parametrai!$A$2:$A$21,$A296))*IF($H296="",1,$H296),0),IF($D296="Susikertančios su Lietuvos čempionatu",0.95*SUMIFS($J$2:$J$500,$B$2:$B$500,$B296,$A$2:$A$500,$A296-1),IF($D296="Papildomi (R+)",IFERROR(MAX(0,($F296-900)/1000),0),0))))</f>
        <v>0</v>
      </c>
    </row>
    <row r="297" spans="10:10" ht="15" customHeight="1" x14ac:dyDescent="0.3">
      <c r="J297" s="23">
        <f>IF($D297="LSF čempionatas",IFERROR($E297/SUMIFS(Parametrai!$B$2:$B$21,Parametrai!$A$2:$A$21,$A297)*SUMIFS(Parametrai!$E$2:$E$21,Parametrai!$A$2:$A$21,$A297),0),IF($D297="Kitos varžybos, deklaruotos reitingui",IFERROR($F297/MAX($G297,SUMIFS(Parametrai!$F$2:$F$21,Parametrai!$A$2:$A$21,$A297))*IF($H297="",1,$H297),0),IF($D297="Susikertančios su Lietuvos čempionatu",0.95*SUMIFS($J$2:$J$500,$B$2:$B$500,$B297,$A$2:$A$500,$A297-1),IF($D297="Papildomi (R+)",IFERROR(MAX(0,($F297-900)/1000),0),0))))</f>
        <v>0</v>
      </c>
    </row>
    <row r="298" spans="10:10" ht="15" customHeight="1" x14ac:dyDescent="0.3">
      <c r="J298" s="23">
        <f>IF($D298="LSF čempionatas",IFERROR($E298/SUMIFS(Parametrai!$B$2:$B$21,Parametrai!$A$2:$A$21,$A298)*SUMIFS(Parametrai!$E$2:$E$21,Parametrai!$A$2:$A$21,$A298),0),IF($D298="Kitos varžybos, deklaruotos reitingui",IFERROR($F298/MAX($G298,SUMIFS(Parametrai!$F$2:$F$21,Parametrai!$A$2:$A$21,$A298))*IF($H298="",1,$H298),0),IF($D298="Susikertančios su Lietuvos čempionatu",0.95*SUMIFS($J$2:$J$500,$B$2:$B$500,$B298,$A$2:$A$500,$A298-1),IF($D298="Papildomi (R+)",IFERROR(MAX(0,($F298-900)/1000),0),0))))</f>
        <v>0</v>
      </c>
    </row>
    <row r="299" spans="10:10" ht="15" customHeight="1" x14ac:dyDescent="0.3">
      <c r="J299" s="23">
        <f>IF($D299="LSF čempionatas",IFERROR($E299/SUMIFS(Parametrai!$B$2:$B$21,Parametrai!$A$2:$A$21,$A299)*SUMIFS(Parametrai!$E$2:$E$21,Parametrai!$A$2:$A$21,$A299),0),IF($D299="Kitos varžybos, deklaruotos reitingui",IFERROR($F299/MAX($G299,SUMIFS(Parametrai!$F$2:$F$21,Parametrai!$A$2:$A$21,$A299))*IF($H299="",1,$H299),0),IF($D299="Susikertančios su Lietuvos čempionatu",0.95*SUMIFS($J$2:$J$500,$B$2:$B$500,$B299,$A$2:$A$500,$A299-1),IF($D299="Papildomi (R+)",IFERROR(MAX(0,($F299-900)/1000),0),0))))</f>
        <v>0</v>
      </c>
    </row>
    <row r="300" spans="10:10" ht="15" customHeight="1" x14ac:dyDescent="0.3">
      <c r="J300" s="23">
        <f>IF($D300="LSF čempionatas",IFERROR($E300/SUMIFS(Parametrai!$B$2:$B$21,Parametrai!$A$2:$A$21,$A300)*SUMIFS(Parametrai!$E$2:$E$21,Parametrai!$A$2:$A$21,$A300),0),IF($D300="Kitos varžybos, deklaruotos reitingui",IFERROR($F300/MAX($G300,SUMIFS(Parametrai!$F$2:$F$21,Parametrai!$A$2:$A$21,$A300))*IF($H300="",1,$H300),0),IF($D300="Susikertančios su Lietuvos čempionatu",0.95*SUMIFS($J$2:$J$500,$B$2:$B$500,$B300,$A$2:$A$500,$A300-1),IF($D300="Papildomi (R+)",IFERROR(MAX(0,($F300-900)/1000),0),0))))</f>
        <v>0</v>
      </c>
    </row>
    <row r="301" spans="10:10" ht="15" customHeight="1" x14ac:dyDescent="0.3">
      <c r="J301" s="23">
        <f>IF($D301="LSF čempionatas",IFERROR($E301/SUMIFS(Parametrai!$B$2:$B$21,Parametrai!$A$2:$A$21,$A301)*SUMIFS(Parametrai!$E$2:$E$21,Parametrai!$A$2:$A$21,$A301),0),IF($D301="Kitos varžybos, deklaruotos reitingui",IFERROR($F301/MAX($G301,SUMIFS(Parametrai!$F$2:$F$21,Parametrai!$A$2:$A$21,$A301))*IF($H301="",1,$H301),0),IF($D301="Susikertančios su Lietuvos čempionatu",0.95*SUMIFS($J$2:$J$500,$B$2:$B$500,$B301,$A$2:$A$500,$A301-1),IF($D301="Papildomi (R+)",IFERROR(MAX(0,($F301-900)/1000),0),0))))</f>
        <v>0</v>
      </c>
    </row>
    <row r="302" spans="10:10" ht="15" customHeight="1" x14ac:dyDescent="0.3">
      <c r="J302" s="23">
        <f>IF($D302="LSF čempionatas",IFERROR($E302/SUMIFS(Parametrai!$B$2:$B$21,Parametrai!$A$2:$A$21,$A302)*SUMIFS(Parametrai!$E$2:$E$21,Parametrai!$A$2:$A$21,$A302),0),IF($D302="Kitos varžybos, deklaruotos reitingui",IFERROR($F302/MAX($G302,SUMIFS(Parametrai!$F$2:$F$21,Parametrai!$A$2:$A$21,$A302))*IF($H302="",1,$H302),0),IF($D302="Susikertančios su Lietuvos čempionatu",0.95*SUMIFS($J$2:$J$500,$B$2:$B$500,$B302,$A$2:$A$500,$A302-1),IF($D302="Papildomi (R+)",IFERROR(MAX(0,($F302-900)/1000),0),0))))</f>
        <v>0</v>
      </c>
    </row>
    <row r="303" spans="10:10" ht="15" customHeight="1" x14ac:dyDescent="0.3">
      <c r="J303" s="23">
        <f>IF($D303="LSF čempionatas",IFERROR($E303/SUMIFS(Parametrai!$B$2:$B$21,Parametrai!$A$2:$A$21,$A303)*SUMIFS(Parametrai!$E$2:$E$21,Parametrai!$A$2:$A$21,$A303),0),IF($D303="Kitos varžybos, deklaruotos reitingui",IFERROR($F303/MAX($G303,SUMIFS(Parametrai!$F$2:$F$21,Parametrai!$A$2:$A$21,$A303))*IF($H303="",1,$H303),0),IF($D303="Susikertančios su Lietuvos čempionatu",0.95*SUMIFS($J$2:$J$500,$B$2:$B$500,$B303,$A$2:$A$500,$A303-1),IF($D303="Papildomi (R+)",IFERROR(MAX(0,($F303-900)/1000),0),0))))</f>
        <v>0</v>
      </c>
    </row>
    <row r="304" spans="10:10" ht="15" customHeight="1" x14ac:dyDescent="0.3">
      <c r="J304" s="23">
        <f>IF($D304="LSF čempionatas",IFERROR($E304/SUMIFS(Parametrai!$B$2:$B$21,Parametrai!$A$2:$A$21,$A304)*SUMIFS(Parametrai!$E$2:$E$21,Parametrai!$A$2:$A$21,$A304),0),IF($D304="Kitos varžybos, deklaruotos reitingui",IFERROR($F304/MAX($G304,SUMIFS(Parametrai!$F$2:$F$21,Parametrai!$A$2:$A$21,$A304))*IF($H304="",1,$H304),0),IF($D304="Susikertančios su Lietuvos čempionatu",0.95*SUMIFS($J$2:$J$500,$B$2:$B$500,$B304,$A$2:$A$500,$A304-1),IF($D304="Papildomi (R+)",IFERROR(MAX(0,($F304-900)/1000),0),0))))</f>
        <v>0</v>
      </c>
    </row>
    <row r="305" spans="10:10" ht="15" customHeight="1" x14ac:dyDescent="0.3">
      <c r="J305" s="23">
        <f>IF($D305="LSF čempionatas",IFERROR($E305/SUMIFS(Parametrai!$B$2:$B$21,Parametrai!$A$2:$A$21,$A305)*SUMIFS(Parametrai!$E$2:$E$21,Parametrai!$A$2:$A$21,$A305),0),IF($D305="Kitos varžybos, deklaruotos reitingui",IFERROR($F305/MAX($G305,SUMIFS(Parametrai!$F$2:$F$21,Parametrai!$A$2:$A$21,$A305))*IF($H305="",1,$H305),0),IF($D305="Susikertančios su Lietuvos čempionatu",0.95*SUMIFS($J$2:$J$500,$B$2:$B$500,$B305,$A$2:$A$500,$A305-1),IF($D305="Papildomi (R+)",IFERROR(MAX(0,($F305-900)/1000),0),0))))</f>
        <v>0</v>
      </c>
    </row>
    <row r="306" spans="10:10" ht="15" customHeight="1" x14ac:dyDescent="0.3">
      <c r="J306" s="23">
        <f>IF($D306="LSF čempionatas",IFERROR($E306/SUMIFS(Parametrai!$B$2:$B$21,Parametrai!$A$2:$A$21,$A306)*SUMIFS(Parametrai!$E$2:$E$21,Parametrai!$A$2:$A$21,$A306),0),IF($D306="Kitos varžybos, deklaruotos reitingui",IFERROR($F306/MAX($G306,SUMIFS(Parametrai!$F$2:$F$21,Parametrai!$A$2:$A$21,$A306))*IF($H306="",1,$H306),0),IF($D306="Susikertančios su Lietuvos čempionatu",0.95*SUMIFS($J$2:$J$500,$B$2:$B$500,$B306,$A$2:$A$500,$A306-1),IF($D306="Papildomi (R+)",IFERROR(MAX(0,($F306-900)/1000),0),0))))</f>
        <v>0</v>
      </c>
    </row>
    <row r="307" spans="10:10" ht="15" customHeight="1" x14ac:dyDescent="0.3">
      <c r="J307" s="23">
        <f>IF($D307="LSF čempionatas",IFERROR($E307/SUMIFS(Parametrai!$B$2:$B$21,Parametrai!$A$2:$A$21,$A307)*SUMIFS(Parametrai!$E$2:$E$21,Parametrai!$A$2:$A$21,$A307),0),IF($D307="Kitos varžybos, deklaruotos reitingui",IFERROR($F307/MAX($G307,SUMIFS(Parametrai!$F$2:$F$21,Parametrai!$A$2:$A$21,$A307))*IF($H307="",1,$H307),0),IF($D307="Susikertančios su Lietuvos čempionatu",0.95*SUMIFS($J$2:$J$500,$B$2:$B$500,$B307,$A$2:$A$500,$A307-1),IF($D307="Papildomi (R+)",IFERROR(MAX(0,($F307-900)/1000),0),0))))</f>
        <v>0</v>
      </c>
    </row>
    <row r="308" spans="10:10" ht="15" customHeight="1" x14ac:dyDescent="0.3">
      <c r="J308" s="23">
        <f>IF($D308="LSF čempionatas",IFERROR($E308/SUMIFS(Parametrai!$B$2:$B$21,Parametrai!$A$2:$A$21,$A308)*SUMIFS(Parametrai!$E$2:$E$21,Parametrai!$A$2:$A$21,$A308),0),IF($D308="Kitos varžybos, deklaruotos reitingui",IFERROR($F308/MAX($G308,SUMIFS(Parametrai!$F$2:$F$21,Parametrai!$A$2:$A$21,$A308))*IF($H308="",1,$H308),0),IF($D308="Susikertančios su Lietuvos čempionatu",0.95*SUMIFS($J$2:$J$500,$B$2:$B$500,$B308,$A$2:$A$500,$A308-1),IF($D308="Papildomi (R+)",IFERROR(MAX(0,($F308-900)/1000),0),0))))</f>
        <v>0</v>
      </c>
    </row>
    <row r="309" spans="10:10" ht="15" customHeight="1" x14ac:dyDescent="0.3">
      <c r="J309" s="23">
        <f>IF($D309="LSF čempionatas",IFERROR($E309/SUMIFS(Parametrai!$B$2:$B$21,Parametrai!$A$2:$A$21,$A309)*SUMIFS(Parametrai!$E$2:$E$21,Parametrai!$A$2:$A$21,$A309),0),IF($D309="Kitos varžybos, deklaruotos reitingui",IFERROR($F309/MAX($G309,SUMIFS(Parametrai!$F$2:$F$21,Parametrai!$A$2:$A$21,$A309))*IF($H309="",1,$H309),0),IF($D309="Susikertančios su Lietuvos čempionatu",0.95*SUMIFS($J$2:$J$500,$B$2:$B$500,$B309,$A$2:$A$500,$A309-1),IF($D309="Papildomi (R+)",IFERROR(MAX(0,($F309-900)/1000),0),0))))</f>
        <v>0</v>
      </c>
    </row>
    <row r="310" spans="10:10" ht="15" customHeight="1" x14ac:dyDescent="0.3">
      <c r="J310" s="23">
        <f>IF($D310="LSF čempionatas",IFERROR($E310/SUMIFS(Parametrai!$B$2:$B$21,Parametrai!$A$2:$A$21,$A310)*SUMIFS(Parametrai!$E$2:$E$21,Parametrai!$A$2:$A$21,$A310),0),IF($D310="Kitos varžybos, deklaruotos reitingui",IFERROR($F310/MAX($G310,SUMIFS(Parametrai!$F$2:$F$21,Parametrai!$A$2:$A$21,$A310))*IF($H310="",1,$H310),0),IF($D310="Susikertančios su Lietuvos čempionatu",0.95*SUMIFS($J$2:$J$500,$B$2:$B$500,$B310,$A$2:$A$500,$A310-1),IF($D310="Papildomi (R+)",IFERROR(MAX(0,($F310-900)/1000),0),0))))</f>
        <v>0</v>
      </c>
    </row>
    <row r="311" spans="10:10" ht="15" customHeight="1" x14ac:dyDescent="0.3">
      <c r="J311" s="23">
        <f>IF($D311="LSF čempionatas",IFERROR($E311/SUMIFS(Parametrai!$B$2:$B$21,Parametrai!$A$2:$A$21,$A311)*SUMIFS(Parametrai!$E$2:$E$21,Parametrai!$A$2:$A$21,$A311),0),IF($D311="Kitos varžybos, deklaruotos reitingui",IFERROR($F311/MAX($G311,SUMIFS(Parametrai!$F$2:$F$21,Parametrai!$A$2:$A$21,$A311))*IF($H311="",1,$H311),0),IF($D311="Susikertančios su Lietuvos čempionatu",0.95*SUMIFS($J$2:$J$500,$B$2:$B$500,$B311,$A$2:$A$500,$A311-1),IF($D311="Papildomi (R+)",IFERROR(MAX(0,($F311-900)/1000),0),0))))</f>
        <v>0</v>
      </c>
    </row>
    <row r="312" spans="10:10" ht="15" customHeight="1" x14ac:dyDescent="0.3">
      <c r="J312" s="23">
        <f>IF($D312="LSF čempionatas",IFERROR($E312/SUMIFS(Parametrai!$B$2:$B$21,Parametrai!$A$2:$A$21,$A312)*SUMIFS(Parametrai!$E$2:$E$21,Parametrai!$A$2:$A$21,$A312),0),IF($D312="Kitos varžybos, deklaruotos reitingui",IFERROR($F312/MAX($G312,SUMIFS(Parametrai!$F$2:$F$21,Parametrai!$A$2:$A$21,$A312))*IF($H312="",1,$H312),0),IF($D312="Susikertančios su Lietuvos čempionatu",0.95*SUMIFS($J$2:$J$500,$B$2:$B$500,$B312,$A$2:$A$500,$A312-1),IF($D312="Papildomi (R+)",IFERROR(MAX(0,($F312-900)/1000),0),0))))</f>
        <v>0</v>
      </c>
    </row>
    <row r="313" spans="10:10" ht="15" customHeight="1" x14ac:dyDescent="0.3">
      <c r="J313" s="23">
        <f>IF($D313="LSF čempionatas",IFERROR($E313/SUMIFS(Parametrai!$B$2:$B$21,Parametrai!$A$2:$A$21,$A313)*SUMIFS(Parametrai!$E$2:$E$21,Parametrai!$A$2:$A$21,$A313),0),IF($D313="Kitos varžybos, deklaruotos reitingui",IFERROR($F313/MAX($G313,SUMIFS(Parametrai!$F$2:$F$21,Parametrai!$A$2:$A$21,$A313))*IF($H313="",1,$H313),0),IF($D313="Susikertančios su Lietuvos čempionatu",0.95*SUMIFS($J$2:$J$500,$B$2:$B$500,$B313,$A$2:$A$500,$A313-1),IF($D313="Papildomi (R+)",IFERROR(MAX(0,($F313-900)/1000),0),0))))</f>
        <v>0</v>
      </c>
    </row>
    <row r="314" spans="10:10" ht="15" customHeight="1" x14ac:dyDescent="0.3">
      <c r="J314" s="23">
        <f>IF($D314="LSF čempionatas",IFERROR($E314/SUMIFS(Parametrai!$B$2:$B$21,Parametrai!$A$2:$A$21,$A314)*SUMIFS(Parametrai!$E$2:$E$21,Parametrai!$A$2:$A$21,$A314),0),IF($D314="Kitos varžybos, deklaruotos reitingui",IFERROR($F314/MAX($G314,SUMIFS(Parametrai!$F$2:$F$21,Parametrai!$A$2:$A$21,$A314))*IF($H314="",1,$H314),0),IF($D314="Susikertančios su Lietuvos čempionatu",0.95*SUMIFS($J$2:$J$500,$B$2:$B$500,$B314,$A$2:$A$500,$A314-1),IF($D314="Papildomi (R+)",IFERROR(MAX(0,($F314-900)/1000),0),0))))</f>
        <v>0</v>
      </c>
    </row>
    <row r="315" spans="10:10" ht="15" customHeight="1" x14ac:dyDescent="0.3">
      <c r="J315" s="23">
        <f>IF($D315="LSF čempionatas",IFERROR($E315/SUMIFS(Parametrai!$B$2:$B$21,Parametrai!$A$2:$A$21,$A315)*SUMIFS(Parametrai!$E$2:$E$21,Parametrai!$A$2:$A$21,$A315),0),IF($D315="Kitos varžybos, deklaruotos reitingui",IFERROR($F315/MAX($G315,SUMIFS(Parametrai!$F$2:$F$21,Parametrai!$A$2:$A$21,$A315))*IF($H315="",1,$H315),0),IF($D315="Susikertančios su Lietuvos čempionatu",0.95*SUMIFS($J$2:$J$500,$B$2:$B$500,$B315,$A$2:$A$500,$A315-1),IF($D315="Papildomi (R+)",IFERROR(MAX(0,($F315-900)/1000),0),0))))</f>
        <v>0</v>
      </c>
    </row>
    <row r="316" spans="10:10" ht="15" customHeight="1" x14ac:dyDescent="0.3">
      <c r="J316" s="23">
        <f>IF($D316="LSF čempionatas",IFERROR($E316/SUMIFS(Parametrai!$B$2:$B$21,Parametrai!$A$2:$A$21,$A316)*SUMIFS(Parametrai!$E$2:$E$21,Parametrai!$A$2:$A$21,$A316),0),IF($D316="Kitos varžybos, deklaruotos reitingui",IFERROR($F316/MAX($G316,SUMIFS(Parametrai!$F$2:$F$21,Parametrai!$A$2:$A$21,$A316))*IF($H316="",1,$H316),0),IF($D316="Susikertančios su Lietuvos čempionatu",0.95*SUMIFS($J$2:$J$500,$B$2:$B$500,$B316,$A$2:$A$500,$A316-1),IF($D316="Papildomi (R+)",IFERROR(MAX(0,($F316-900)/1000),0),0))))</f>
        <v>0</v>
      </c>
    </row>
    <row r="317" spans="10:10" ht="15" customHeight="1" x14ac:dyDescent="0.3">
      <c r="J317" s="23">
        <f>IF($D317="LSF čempionatas",IFERROR($E317/SUMIFS(Parametrai!$B$2:$B$21,Parametrai!$A$2:$A$21,$A317)*SUMIFS(Parametrai!$E$2:$E$21,Parametrai!$A$2:$A$21,$A317),0),IF($D317="Kitos varžybos, deklaruotos reitingui",IFERROR($F317/MAX($G317,SUMIFS(Parametrai!$F$2:$F$21,Parametrai!$A$2:$A$21,$A317))*IF($H317="",1,$H317),0),IF($D317="Susikertančios su Lietuvos čempionatu",0.95*SUMIFS($J$2:$J$500,$B$2:$B$500,$B317,$A$2:$A$500,$A317-1),IF($D317="Papildomi (R+)",IFERROR(MAX(0,($F317-900)/1000),0),0))))</f>
        <v>0</v>
      </c>
    </row>
    <row r="318" spans="10:10" ht="15" customHeight="1" x14ac:dyDescent="0.3">
      <c r="J318" s="23">
        <f>IF($D318="LSF čempionatas",IFERROR($E318/SUMIFS(Parametrai!$B$2:$B$21,Parametrai!$A$2:$A$21,$A318)*SUMIFS(Parametrai!$E$2:$E$21,Parametrai!$A$2:$A$21,$A318),0),IF($D318="Kitos varžybos, deklaruotos reitingui",IFERROR($F318/MAX($G318,SUMIFS(Parametrai!$F$2:$F$21,Parametrai!$A$2:$A$21,$A318))*IF($H318="",1,$H318),0),IF($D318="Susikertančios su Lietuvos čempionatu",0.95*SUMIFS($J$2:$J$500,$B$2:$B$500,$B318,$A$2:$A$500,$A318-1),IF($D318="Papildomi (R+)",IFERROR(MAX(0,($F318-900)/1000),0),0))))</f>
        <v>0</v>
      </c>
    </row>
    <row r="319" spans="10:10" ht="15" customHeight="1" x14ac:dyDescent="0.3">
      <c r="J319" s="23">
        <f>IF($D319="LSF čempionatas",IFERROR($E319/SUMIFS(Parametrai!$B$2:$B$21,Parametrai!$A$2:$A$21,$A319)*SUMIFS(Parametrai!$E$2:$E$21,Parametrai!$A$2:$A$21,$A319),0),IF($D319="Kitos varžybos, deklaruotos reitingui",IFERROR($F319/MAX($G319,SUMIFS(Parametrai!$F$2:$F$21,Parametrai!$A$2:$A$21,$A319))*IF($H319="",1,$H319),0),IF($D319="Susikertančios su Lietuvos čempionatu",0.95*SUMIFS($J$2:$J$500,$B$2:$B$500,$B319,$A$2:$A$500,$A319-1),IF($D319="Papildomi (R+)",IFERROR(MAX(0,($F319-900)/1000),0),0))))</f>
        <v>0</v>
      </c>
    </row>
    <row r="320" spans="10:10" ht="15" customHeight="1" x14ac:dyDescent="0.3">
      <c r="J320" s="23">
        <f>IF($D320="LSF čempionatas",IFERROR($E320/SUMIFS(Parametrai!$B$2:$B$21,Parametrai!$A$2:$A$21,$A320)*SUMIFS(Parametrai!$E$2:$E$21,Parametrai!$A$2:$A$21,$A320),0),IF($D320="Kitos varžybos, deklaruotos reitingui",IFERROR($F320/MAX($G320,SUMIFS(Parametrai!$F$2:$F$21,Parametrai!$A$2:$A$21,$A320))*IF($H320="",1,$H320),0),IF($D320="Susikertančios su Lietuvos čempionatu",0.95*SUMIFS($J$2:$J$500,$B$2:$B$500,$B320,$A$2:$A$500,$A320-1),IF($D320="Papildomi (R+)",IFERROR(MAX(0,($F320-900)/1000),0),0))))</f>
        <v>0</v>
      </c>
    </row>
    <row r="321" spans="10:10" ht="15" customHeight="1" x14ac:dyDescent="0.3">
      <c r="J321" s="23">
        <f>IF($D321="LSF čempionatas",IFERROR($E321/SUMIFS(Parametrai!$B$2:$B$21,Parametrai!$A$2:$A$21,$A321)*SUMIFS(Parametrai!$E$2:$E$21,Parametrai!$A$2:$A$21,$A321),0),IF($D321="Kitos varžybos, deklaruotos reitingui",IFERROR($F321/MAX($G321,SUMIFS(Parametrai!$F$2:$F$21,Parametrai!$A$2:$A$21,$A321))*IF($H321="",1,$H321),0),IF($D321="Susikertančios su Lietuvos čempionatu",0.95*SUMIFS($J$2:$J$500,$B$2:$B$500,$B321,$A$2:$A$500,$A321-1),IF($D321="Papildomi (R+)",IFERROR(MAX(0,($F321-900)/1000),0),0))))</f>
        <v>0</v>
      </c>
    </row>
    <row r="322" spans="10:10" ht="15" customHeight="1" x14ac:dyDescent="0.3">
      <c r="J322" s="23">
        <f>IF($D322="LSF čempionatas",IFERROR($E322/SUMIFS(Parametrai!$B$2:$B$21,Parametrai!$A$2:$A$21,$A322)*SUMIFS(Parametrai!$E$2:$E$21,Parametrai!$A$2:$A$21,$A322),0),IF($D322="Kitos varžybos, deklaruotos reitingui",IFERROR($F322/MAX($G322,SUMIFS(Parametrai!$F$2:$F$21,Parametrai!$A$2:$A$21,$A322))*IF($H322="",1,$H322),0),IF($D322="Susikertančios su Lietuvos čempionatu",0.95*SUMIFS($J$2:$J$500,$B$2:$B$500,$B322,$A$2:$A$500,$A322-1),IF($D322="Papildomi (R+)",IFERROR(MAX(0,($F322-900)/1000),0),0))))</f>
        <v>0</v>
      </c>
    </row>
    <row r="323" spans="10:10" ht="15" customHeight="1" x14ac:dyDescent="0.3">
      <c r="J323" s="23">
        <f>IF($D323="LSF čempionatas",IFERROR($E323/SUMIFS(Parametrai!$B$2:$B$21,Parametrai!$A$2:$A$21,$A323)*SUMIFS(Parametrai!$E$2:$E$21,Parametrai!$A$2:$A$21,$A323),0),IF($D323="Kitos varžybos, deklaruotos reitingui",IFERROR($F323/MAX($G323,SUMIFS(Parametrai!$F$2:$F$21,Parametrai!$A$2:$A$21,$A323))*IF($H323="",1,$H323),0),IF($D323="Susikertančios su Lietuvos čempionatu",0.95*SUMIFS($J$2:$J$500,$B$2:$B$500,$B323,$A$2:$A$500,$A323-1),IF($D323="Papildomi (R+)",IFERROR(MAX(0,($F323-900)/1000),0),0))))</f>
        <v>0</v>
      </c>
    </row>
    <row r="324" spans="10:10" ht="15" customHeight="1" x14ac:dyDescent="0.3">
      <c r="J324" s="23">
        <f>IF($D324="LSF čempionatas",IFERROR($E324/SUMIFS(Parametrai!$B$2:$B$21,Parametrai!$A$2:$A$21,$A324)*SUMIFS(Parametrai!$E$2:$E$21,Parametrai!$A$2:$A$21,$A324),0),IF($D324="Kitos varžybos, deklaruotos reitingui",IFERROR($F324/MAX($G324,SUMIFS(Parametrai!$F$2:$F$21,Parametrai!$A$2:$A$21,$A324))*IF($H324="",1,$H324),0),IF($D324="Susikertančios su Lietuvos čempionatu",0.95*SUMIFS($J$2:$J$500,$B$2:$B$500,$B324,$A$2:$A$500,$A324-1),IF($D324="Papildomi (R+)",IFERROR(MAX(0,($F324-900)/1000),0),0))))</f>
        <v>0</v>
      </c>
    </row>
    <row r="325" spans="10:10" ht="15" customHeight="1" x14ac:dyDescent="0.3">
      <c r="J325" s="23">
        <f>IF($D325="LSF čempionatas",IFERROR($E325/SUMIFS(Parametrai!$B$2:$B$21,Parametrai!$A$2:$A$21,$A325)*SUMIFS(Parametrai!$E$2:$E$21,Parametrai!$A$2:$A$21,$A325),0),IF($D325="Kitos varžybos, deklaruotos reitingui",IFERROR($F325/MAX($G325,SUMIFS(Parametrai!$F$2:$F$21,Parametrai!$A$2:$A$21,$A325))*IF($H325="",1,$H325),0),IF($D325="Susikertančios su Lietuvos čempionatu",0.95*SUMIFS($J$2:$J$500,$B$2:$B$500,$B325,$A$2:$A$500,$A325-1),IF($D325="Papildomi (R+)",IFERROR(MAX(0,($F325-900)/1000),0),0))))</f>
        <v>0</v>
      </c>
    </row>
    <row r="326" spans="10:10" ht="15" customHeight="1" x14ac:dyDescent="0.3">
      <c r="J326" s="23">
        <f>IF($D326="LSF čempionatas",IFERROR($E326/SUMIFS(Parametrai!$B$2:$B$21,Parametrai!$A$2:$A$21,$A326)*SUMIFS(Parametrai!$E$2:$E$21,Parametrai!$A$2:$A$21,$A326),0),IF($D326="Kitos varžybos, deklaruotos reitingui",IFERROR($F326/MAX($G326,SUMIFS(Parametrai!$F$2:$F$21,Parametrai!$A$2:$A$21,$A326))*IF($H326="",1,$H326),0),IF($D326="Susikertančios su Lietuvos čempionatu",0.95*SUMIFS($J$2:$J$500,$B$2:$B$500,$B326,$A$2:$A$500,$A326-1),IF($D326="Papildomi (R+)",IFERROR(MAX(0,($F326-900)/1000),0),0))))</f>
        <v>0</v>
      </c>
    </row>
    <row r="327" spans="10:10" ht="15" customHeight="1" x14ac:dyDescent="0.3">
      <c r="J327" s="23">
        <f>IF($D327="LSF čempionatas",IFERROR($E327/SUMIFS(Parametrai!$B$2:$B$21,Parametrai!$A$2:$A$21,$A327)*SUMIFS(Parametrai!$E$2:$E$21,Parametrai!$A$2:$A$21,$A327),0),IF($D327="Kitos varžybos, deklaruotos reitingui",IFERROR($F327/MAX($G327,SUMIFS(Parametrai!$F$2:$F$21,Parametrai!$A$2:$A$21,$A327))*IF($H327="",1,$H327),0),IF($D327="Susikertančios su Lietuvos čempionatu",0.95*SUMIFS($J$2:$J$500,$B$2:$B$500,$B327,$A$2:$A$500,$A327-1),IF($D327="Papildomi (R+)",IFERROR(MAX(0,($F327-900)/1000),0),0))))</f>
        <v>0</v>
      </c>
    </row>
    <row r="328" spans="10:10" ht="15" customHeight="1" x14ac:dyDescent="0.3">
      <c r="J328" s="23">
        <f>IF($D328="LSF čempionatas",IFERROR($E328/SUMIFS(Parametrai!$B$2:$B$21,Parametrai!$A$2:$A$21,$A328)*SUMIFS(Parametrai!$E$2:$E$21,Parametrai!$A$2:$A$21,$A328),0),IF($D328="Kitos varžybos, deklaruotos reitingui",IFERROR($F328/MAX($G328,SUMIFS(Parametrai!$F$2:$F$21,Parametrai!$A$2:$A$21,$A328))*IF($H328="",1,$H328),0),IF($D328="Susikertančios su Lietuvos čempionatu",0.95*SUMIFS($J$2:$J$500,$B$2:$B$500,$B328,$A$2:$A$500,$A328-1),IF($D328="Papildomi (R+)",IFERROR(MAX(0,($F328-900)/1000),0),0))))</f>
        <v>0</v>
      </c>
    </row>
    <row r="329" spans="10:10" ht="15" customHeight="1" x14ac:dyDescent="0.3">
      <c r="J329" s="23">
        <f>IF($D329="LSF čempionatas",IFERROR($E329/SUMIFS(Parametrai!$B$2:$B$21,Parametrai!$A$2:$A$21,$A329)*SUMIFS(Parametrai!$E$2:$E$21,Parametrai!$A$2:$A$21,$A329),0),IF($D329="Kitos varžybos, deklaruotos reitingui",IFERROR($F329/MAX($G329,SUMIFS(Parametrai!$F$2:$F$21,Parametrai!$A$2:$A$21,$A329))*IF($H329="",1,$H329),0),IF($D329="Susikertančios su Lietuvos čempionatu",0.95*SUMIFS($J$2:$J$500,$B$2:$B$500,$B329,$A$2:$A$500,$A329-1),IF($D329="Papildomi (R+)",IFERROR(MAX(0,($F329-900)/1000),0),0))))</f>
        <v>0</v>
      </c>
    </row>
    <row r="330" spans="10:10" ht="15" customHeight="1" x14ac:dyDescent="0.3">
      <c r="J330" s="23">
        <f>IF($D330="LSF čempionatas",IFERROR($E330/SUMIFS(Parametrai!$B$2:$B$21,Parametrai!$A$2:$A$21,$A330)*SUMIFS(Parametrai!$E$2:$E$21,Parametrai!$A$2:$A$21,$A330),0),IF($D330="Kitos varžybos, deklaruotos reitingui",IFERROR($F330/MAX($G330,SUMIFS(Parametrai!$F$2:$F$21,Parametrai!$A$2:$A$21,$A330))*IF($H330="",1,$H330),0),IF($D330="Susikertančios su Lietuvos čempionatu",0.95*SUMIFS($J$2:$J$500,$B$2:$B$500,$B330,$A$2:$A$500,$A330-1),IF($D330="Papildomi (R+)",IFERROR(MAX(0,($F330-900)/1000),0),0))))</f>
        <v>0</v>
      </c>
    </row>
    <row r="331" spans="10:10" ht="15" customHeight="1" x14ac:dyDescent="0.3">
      <c r="J331" s="23">
        <f>IF($D331="LSF čempionatas",IFERROR($E331/SUMIFS(Parametrai!$B$2:$B$21,Parametrai!$A$2:$A$21,$A331)*SUMIFS(Parametrai!$E$2:$E$21,Parametrai!$A$2:$A$21,$A331),0),IF($D331="Kitos varžybos, deklaruotos reitingui",IFERROR($F331/MAX($G331,SUMIFS(Parametrai!$F$2:$F$21,Parametrai!$A$2:$A$21,$A331))*IF($H331="",1,$H331),0),IF($D331="Susikertančios su Lietuvos čempionatu",0.95*SUMIFS($J$2:$J$500,$B$2:$B$500,$B331,$A$2:$A$500,$A331-1),IF($D331="Papildomi (R+)",IFERROR(MAX(0,($F331-900)/1000),0),0))))</f>
        <v>0</v>
      </c>
    </row>
    <row r="332" spans="10:10" ht="15" customHeight="1" x14ac:dyDescent="0.3">
      <c r="J332" s="23">
        <f>IF($D332="LSF čempionatas",IFERROR($E332/SUMIFS(Parametrai!$B$2:$B$21,Parametrai!$A$2:$A$21,$A332)*SUMIFS(Parametrai!$E$2:$E$21,Parametrai!$A$2:$A$21,$A332),0),IF($D332="Kitos varžybos, deklaruotos reitingui",IFERROR($F332/MAX($G332,SUMIFS(Parametrai!$F$2:$F$21,Parametrai!$A$2:$A$21,$A332))*IF($H332="",1,$H332),0),IF($D332="Susikertančios su Lietuvos čempionatu",0.95*SUMIFS($J$2:$J$500,$B$2:$B$500,$B332,$A$2:$A$500,$A332-1),IF($D332="Papildomi (R+)",IFERROR(MAX(0,($F332-900)/1000),0),0))))</f>
        <v>0</v>
      </c>
    </row>
    <row r="333" spans="10:10" ht="15" customHeight="1" x14ac:dyDescent="0.3">
      <c r="J333" s="23">
        <f>IF($D333="LSF čempionatas",IFERROR($E333/SUMIFS(Parametrai!$B$2:$B$21,Parametrai!$A$2:$A$21,$A333)*SUMIFS(Parametrai!$E$2:$E$21,Parametrai!$A$2:$A$21,$A333),0),IF($D333="Kitos varžybos, deklaruotos reitingui",IFERROR($F333/MAX($G333,SUMIFS(Parametrai!$F$2:$F$21,Parametrai!$A$2:$A$21,$A333))*IF($H333="",1,$H333),0),IF($D333="Susikertančios su Lietuvos čempionatu",0.95*SUMIFS($J$2:$J$500,$B$2:$B$500,$B333,$A$2:$A$500,$A333-1),IF($D333="Papildomi (R+)",IFERROR(MAX(0,($F333-900)/1000),0),0))))</f>
        <v>0</v>
      </c>
    </row>
    <row r="334" spans="10:10" ht="15" customHeight="1" x14ac:dyDescent="0.3">
      <c r="J334" s="23">
        <f>IF($D334="LSF čempionatas",IFERROR($E334/SUMIFS(Parametrai!$B$2:$B$21,Parametrai!$A$2:$A$21,$A334)*SUMIFS(Parametrai!$E$2:$E$21,Parametrai!$A$2:$A$21,$A334),0),IF($D334="Kitos varžybos, deklaruotos reitingui",IFERROR($F334/MAX($G334,SUMIFS(Parametrai!$F$2:$F$21,Parametrai!$A$2:$A$21,$A334))*IF($H334="",1,$H334),0),IF($D334="Susikertančios su Lietuvos čempionatu",0.95*SUMIFS($J$2:$J$500,$B$2:$B$500,$B334,$A$2:$A$500,$A334-1),IF($D334="Papildomi (R+)",IFERROR(MAX(0,($F334-900)/1000),0),0))))</f>
        <v>0</v>
      </c>
    </row>
    <row r="335" spans="10:10" ht="15" customHeight="1" x14ac:dyDescent="0.3">
      <c r="J335" s="23">
        <f>IF($D335="LSF čempionatas",IFERROR($E335/SUMIFS(Parametrai!$B$2:$B$21,Parametrai!$A$2:$A$21,$A335)*SUMIFS(Parametrai!$E$2:$E$21,Parametrai!$A$2:$A$21,$A335),0),IF($D335="Kitos varžybos, deklaruotos reitingui",IFERROR($F335/MAX($G335,SUMIFS(Parametrai!$F$2:$F$21,Parametrai!$A$2:$A$21,$A335))*IF($H335="",1,$H335),0),IF($D335="Susikertančios su Lietuvos čempionatu",0.95*SUMIFS($J$2:$J$500,$B$2:$B$500,$B335,$A$2:$A$500,$A335-1),IF($D335="Papildomi (R+)",IFERROR(MAX(0,($F335-900)/1000),0),0))))</f>
        <v>0</v>
      </c>
    </row>
    <row r="336" spans="10:10" ht="15" customHeight="1" x14ac:dyDescent="0.3">
      <c r="J336" s="23">
        <f>IF($D336="LSF čempionatas",IFERROR($E336/SUMIFS(Parametrai!$B$2:$B$21,Parametrai!$A$2:$A$21,$A336)*SUMIFS(Parametrai!$E$2:$E$21,Parametrai!$A$2:$A$21,$A336),0),IF($D336="Kitos varžybos, deklaruotos reitingui",IFERROR($F336/MAX($G336,SUMIFS(Parametrai!$F$2:$F$21,Parametrai!$A$2:$A$21,$A336))*IF($H336="",1,$H336),0),IF($D336="Susikertančios su Lietuvos čempionatu",0.95*SUMIFS($J$2:$J$500,$B$2:$B$500,$B336,$A$2:$A$500,$A336-1),IF($D336="Papildomi (R+)",IFERROR(MAX(0,($F336-900)/1000),0),0))))</f>
        <v>0</v>
      </c>
    </row>
    <row r="337" spans="10:10" ht="15" customHeight="1" x14ac:dyDescent="0.3">
      <c r="J337" s="23">
        <f>IF($D337="LSF čempionatas",IFERROR($E337/SUMIFS(Parametrai!$B$2:$B$21,Parametrai!$A$2:$A$21,$A337)*SUMIFS(Parametrai!$E$2:$E$21,Parametrai!$A$2:$A$21,$A337),0),IF($D337="Kitos varžybos, deklaruotos reitingui",IFERROR($F337/MAX($G337,SUMIFS(Parametrai!$F$2:$F$21,Parametrai!$A$2:$A$21,$A337))*IF($H337="",1,$H337),0),IF($D337="Susikertančios su Lietuvos čempionatu",0.95*SUMIFS($J$2:$J$500,$B$2:$B$500,$B337,$A$2:$A$500,$A337-1),IF($D337="Papildomi (R+)",IFERROR(MAX(0,($F337-900)/1000),0),0))))</f>
        <v>0</v>
      </c>
    </row>
    <row r="338" spans="10:10" ht="15" customHeight="1" x14ac:dyDescent="0.3">
      <c r="J338" s="23">
        <f>IF($D338="LSF čempionatas",IFERROR($E338/SUMIFS(Parametrai!$B$2:$B$21,Parametrai!$A$2:$A$21,$A338)*SUMIFS(Parametrai!$E$2:$E$21,Parametrai!$A$2:$A$21,$A338),0),IF($D338="Kitos varžybos, deklaruotos reitingui",IFERROR($F338/MAX($G338,SUMIFS(Parametrai!$F$2:$F$21,Parametrai!$A$2:$A$21,$A338))*IF($H338="",1,$H338),0),IF($D338="Susikertančios su Lietuvos čempionatu",0.95*SUMIFS($J$2:$J$500,$B$2:$B$500,$B338,$A$2:$A$500,$A338-1),IF($D338="Papildomi (R+)",IFERROR(MAX(0,($F338-900)/1000),0),0))))</f>
        <v>0</v>
      </c>
    </row>
    <row r="339" spans="10:10" ht="15" customHeight="1" x14ac:dyDescent="0.3">
      <c r="J339" s="23">
        <f>IF($D339="LSF čempionatas",IFERROR($E339/SUMIFS(Parametrai!$B$2:$B$21,Parametrai!$A$2:$A$21,$A339)*SUMIFS(Parametrai!$E$2:$E$21,Parametrai!$A$2:$A$21,$A339),0),IF($D339="Kitos varžybos, deklaruotos reitingui",IFERROR($F339/MAX($G339,SUMIFS(Parametrai!$F$2:$F$21,Parametrai!$A$2:$A$21,$A339))*IF($H339="",1,$H339),0),IF($D339="Susikertančios su Lietuvos čempionatu",0.95*SUMIFS($J$2:$J$500,$B$2:$B$500,$B339,$A$2:$A$500,$A339-1),IF($D339="Papildomi (R+)",IFERROR(MAX(0,($F339-900)/1000),0),0))))</f>
        <v>0</v>
      </c>
    </row>
    <row r="340" spans="10:10" ht="15" customHeight="1" x14ac:dyDescent="0.3">
      <c r="J340" s="23">
        <f>IF($D340="LSF čempionatas",IFERROR($E340/SUMIFS(Parametrai!$B$2:$B$21,Parametrai!$A$2:$A$21,$A340)*SUMIFS(Parametrai!$E$2:$E$21,Parametrai!$A$2:$A$21,$A340),0),IF($D340="Kitos varžybos, deklaruotos reitingui",IFERROR($F340/MAX($G340,SUMIFS(Parametrai!$F$2:$F$21,Parametrai!$A$2:$A$21,$A340))*IF($H340="",1,$H340),0),IF($D340="Susikertančios su Lietuvos čempionatu",0.95*SUMIFS($J$2:$J$500,$B$2:$B$500,$B340,$A$2:$A$500,$A340-1),IF($D340="Papildomi (R+)",IFERROR(MAX(0,($F340-900)/1000),0),0))))</f>
        <v>0</v>
      </c>
    </row>
    <row r="341" spans="10:10" ht="15" customHeight="1" x14ac:dyDescent="0.3">
      <c r="J341" s="23">
        <f>IF($D341="LSF čempionatas",IFERROR($E341/SUMIFS(Parametrai!$B$2:$B$21,Parametrai!$A$2:$A$21,$A341)*SUMIFS(Parametrai!$E$2:$E$21,Parametrai!$A$2:$A$21,$A341),0),IF($D341="Kitos varžybos, deklaruotos reitingui",IFERROR($F341/MAX($G341,SUMIFS(Parametrai!$F$2:$F$21,Parametrai!$A$2:$A$21,$A341))*IF($H341="",1,$H341),0),IF($D341="Susikertančios su Lietuvos čempionatu",0.95*SUMIFS($J$2:$J$500,$B$2:$B$500,$B341,$A$2:$A$500,$A341-1),IF($D341="Papildomi (R+)",IFERROR(MAX(0,($F341-900)/1000),0),0))))</f>
        <v>0</v>
      </c>
    </row>
    <row r="342" spans="10:10" ht="15" customHeight="1" x14ac:dyDescent="0.3">
      <c r="J342" s="23">
        <f>IF($D342="LSF čempionatas",IFERROR($E342/SUMIFS(Parametrai!$B$2:$B$21,Parametrai!$A$2:$A$21,$A342)*SUMIFS(Parametrai!$E$2:$E$21,Parametrai!$A$2:$A$21,$A342),0),IF($D342="Kitos varžybos, deklaruotos reitingui",IFERROR($F342/MAX($G342,SUMIFS(Parametrai!$F$2:$F$21,Parametrai!$A$2:$A$21,$A342))*IF($H342="",1,$H342),0),IF($D342="Susikertančios su Lietuvos čempionatu",0.95*SUMIFS($J$2:$J$500,$B$2:$B$500,$B342,$A$2:$A$500,$A342-1),IF($D342="Papildomi (R+)",IFERROR(MAX(0,($F342-900)/1000),0),0))))</f>
        <v>0</v>
      </c>
    </row>
    <row r="343" spans="10:10" ht="15" customHeight="1" x14ac:dyDescent="0.3">
      <c r="J343" s="23">
        <f>IF($D343="LSF čempionatas",IFERROR($E343/SUMIFS(Parametrai!$B$2:$B$21,Parametrai!$A$2:$A$21,$A343)*SUMIFS(Parametrai!$E$2:$E$21,Parametrai!$A$2:$A$21,$A343),0),IF($D343="Kitos varžybos, deklaruotos reitingui",IFERROR($F343/MAX($G343,SUMIFS(Parametrai!$F$2:$F$21,Parametrai!$A$2:$A$21,$A343))*IF($H343="",1,$H343),0),IF($D343="Susikertančios su Lietuvos čempionatu",0.95*SUMIFS($J$2:$J$500,$B$2:$B$500,$B343,$A$2:$A$500,$A343-1),IF($D343="Papildomi (R+)",IFERROR(MAX(0,($F343-900)/1000),0),0))))</f>
        <v>0</v>
      </c>
    </row>
    <row r="344" spans="10:10" ht="15" customHeight="1" x14ac:dyDescent="0.3">
      <c r="J344" s="23">
        <f>IF($D344="LSF čempionatas",IFERROR($E344/SUMIFS(Parametrai!$B$2:$B$21,Parametrai!$A$2:$A$21,$A344)*SUMIFS(Parametrai!$E$2:$E$21,Parametrai!$A$2:$A$21,$A344),0),IF($D344="Kitos varžybos, deklaruotos reitingui",IFERROR($F344/MAX($G344,SUMIFS(Parametrai!$F$2:$F$21,Parametrai!$A$2:$A$21,$A344))*IF($H344="",1,$H344),0),IF($D344="Susikertančios su Lietuvos čempionatu",0.95*SUMIFS($J$2:$J$500,$B$2:$B$500,$B344,$A$2:$A$500,$A344-1),IF($D344="Papildomi (R+)",IFERROR(MAX(0,($F344-900)/1000),0),0))))</f>
        <v>0</v>
      </c>
    </row>
    <row r="345" spans="10:10" ht="15" customHeight="1" x14ac:dyDescent="0.3">
      <c r="J345" s="23">
        <f>IF($D345="LSF čempionatas",IFERROR($E345/SUMIFS(Parametrai!$B$2:$B$21,Parametrai!$A$2:$A$21,$A345)*SUMIFS(Parametrai!$E$2:$E$21,Parametrai!$A$2:$A$21,$A345),0),IF($D345="Kitos varžybos, deklaruotos reitingui",IFERROR($F345/MAX($G345,SUMIFS(Parametrai!$F$2:$F$21,Parametrai!$A$2:$A$21,$A345))*IF($H345="",1,$H345),0),IF($D345="Susikertančios su Lietuvos čempionatu",0.95*SUMIFS($J$2:$J$500,$B$2:$B$500,$B345,$A$2:$A$500,$A345-1),IF($D345="Papildomi (R+)",IFERROR(MAX(0,($F345-900)/1000),0),0))))</f>
        <v>0</v>
      </c>
    </row>
    <row r="346" spans="10:10" ht="15" customHeight="1" x14ac:dyDescent="0.3">
      <c r="J346" s="23">
        <f>IF($D346="LSF čempionatas",IFERROR($E346/SUMIFS(Parametrai!$B$2:$B$21,Parametrai!$A$2:$A$21,$A346)*SUMIFS(Parametrai!$E$2:$E$21,Parametrai!$A$2:$A$21,$A346),0),IF($D346="Kitos varžybos, deklaruotos reitingui",IFERROR($F346/MAX($G346,SUMIFS(Parametrai!$F$2:$F$21,Parametrai!$A$2:$A$21,$A346))*IF($H346="",1,$H346),0),IF($D346="Susikertančios su Lietuvos čempionatu",0.95*SUMIFS($J$2:$J$500,$B$2:$B$500,$B346,$A$2:$A$500,$A346-1),IF($D346="Papildomi (R+)",IFERROR(MAX(0,($F346-900)/1000),0),0))))</f>
        <v>0</v>
      </c>
    </row>
    <row r="347" spans="10:10" ht="15" customHeight="1" x14ac:dyDescent="0.3">
      <c r="J347" s="23">
        <f>IF($D347="LSF čempionatas",IFERROR($E347/SUMIFS(Parametrai!$B$2:$B$21,Parametrai!$A$2:$A$21,$A347)*SUMIFS(Parametrai!$E$2:$E$21,Parametrai!$A$2:$A$21,$A347),0),IF($D347="Kitos varžybos, deklaruotos reitingui",IFERROR($F347/MAX($G347,SUMIFS(Parametrai!$F$2:$F$21,Parametrai!$A$2:$A$21,$A347))*IF($H347="",1,$H347),0),IF($D347="Susikertančios su Lietuvos čempionatu",0.95*SUMIFS($J$2:$J$500,$B$2:$B$500,$B347,$A$2:$A$500,$A347-1),IF($D347="Papildomi (R+)",IFERROR(MAX(0,($F347-900)/1000),0),0))))</f>
        <v>0</v>
      </c>
    </row>
    <row r="348" spans="10:10" ht="15" customHeight="1" x14ac:dyDescent="0.3">
      <c r="J348" s="23">
        <f>IF($D348="LSF čempionatas",IFERROR($E348/SUMIFS(Parametrai!$B$2:$B$21,Parametrai!$A$2:$A$21,$A348)*SUMIFS(Parametrai!$E$2:$E$21,Parametrai!$A$2:$A$21,$A348),0),IF($D348="Kitos varžybos, deklaruotos reitingui",IFERROR($F348/MAX($G348,SUMIFS(Parametrai!$F$2:$F$21,Parametrai!$A$2:$A$21,$A348))*IF($H348="",1,$H348),0),IF($D348="Susikertančios su Lietuvos čempionatu",0.95*SUMIFS($J$2:$J$500,$B$2:$B$500,$B348,$A$2:$A$500,$A348-1),IF($D348="Papildomi (R+)",IFERROR(MAX(0,($F348-900)/1000),0),0))))</f>
        <v>0</v>
      </c>
    </row>
    <row r="349" spans="10:10" ht="15" customHeight="1" x14ac:dyDescent="0.3">
      <c r="J349" s="23">
        <f>IF($D349="LSF čempionatas",IFERROR($E349/SUMIFS(Parametrai!$B$2:$B$21,Parametrai!$A$2:$A$21,$A349)*SUMIFS(Parametrai!$E$2:$E$21,Parametrai!$A$2:$A$21,$A349),0),IF($D349="Kitos varžybos, deklaruotos reitingui",IFERROR($F349/MAX($G349,SUMIFS(Parametrai!$F$2:$F$21,Parametrai!$A$2:$A$21,$A349))*IF($H349="",1,$H349),0),IF($D349="Susikertančios su Lietuvos čempionatu",0.95*SUMIFS($J$2:$J$500,$B$2:$B$500,$B349,$A$2:$A$500,$A349-1),IF($D349="Papildomi (R+)",IFERROR(MAX(0,($F349-900)/1000),0),0))))</f>
        <v>0</v>
      </c>
    </row>
    <row r="350" spans="10:10" ht="15" customHeight="1" x14ac:dyDescent="0.3">
      <c r="J350" s="23">
        <f>IF($D350="LSF čempionatas",IFERROR($E350/SUMIFS(Parametrai!$B$2:$B$21,Parametrai!$A$2:$A$21,$A350)*SUMIFS(Parametrai!$E$2:$E$21,Parametrai!$A$2:$A$21,$A350),0),IF($D350="Kitos varžybos, deklaruotos reitingui",IFERROR($F350/MAX($G350,SUMIFS(Parametrai!$F$2:$F$21,Parametrai!$A$2:$A$21,$A350))*IF($H350="",1,$H350),0),IF($D350="Susikertančios su Lietuvos čempionatu",0.95*SUMIFS($J$2:$J$500,$B$2:$B$500,$B350,$A$2:$A$500,$A350-1),IF($D350="Papildomi (R+)",IFERROR(MAX(0,($F350-900)/1000),0),0))))</f>
        <v>0</v>
      </c>
    </row>
    <row r="351" spans="10:10" ht="15" customHeight="1" x14ac:dyDescent="0.3">
      <c r="J351" s="23">
        <f>IF($D351="LSF čempionatas",IFERROR($E351/SUMIFS(Parametrai!$B$2:$B$21,Parametrai!$A$2:$A$21,$A351)*SUMIFS(Parametrai!$E$2:$E$21,Parametrai!$A$2:$A$21,$A351),0),IF($D351="Kitos varžybos, deklaruotos reitingui",IFERROR($F351/MAX($G351,SUMIFS(Parametrai!$F$2:$F$21,Parametrai!$A$2:$A$21,$A351))*IF($H351="",1,$H351),0),IF($D351="Susikertančios su Lietuvos čempionatu",0.95*SUMIFS($J$2:$J$500,$B$2:$B$500,$B351,$A$2:$A$500,$A351-1),IF($D351="Papildomi (R+)",IFERROR(MAX(0,($F351-900)/1000),0),0))))</f>
        <v>0</v>
      </c>
    </row>
    <row r="352" spans="10:10" ht="15" customHeight="1" x14ac:dyDescent="0.3">
      <c r="J352" s="23">
        <f>IF($D352="LSF čempionatas",IFERROR($E352/SUMIFS(Parametrai!$B$2:$B$21,Parametrai!$A$2:$A$21,$A352)*SUMIFS(Parametrai!$E$2:$E$21,Parametrai!$A$2:$A$21,$A352),0),IF($D352="Kitos varžybos, deklaruotos reitingui",IFERROR($F352/MAX($G352,SUMIFS(Parametrai!$F$2:$F$21,Parametrai!$A$2:$A$21,$A352))*IF($H352="",1,$H352),0),IF($D352="Susikertančios su Lietuvos čempionatu",0.95*SUMIFS($J$2:$J$500,$B$2:$B$500,$B352,$A$2:$A$500,$A352-1),IF($D352="Papildomi (R+)",IFERROR(MAX(0,($F352-900)/1000),0),0))))</f>
        <v>0</v>
      </c>
    </row>
    <row r="353" spans="10:10" ht="15" customHeight="1" x14ac:dyDescent="0.3">
      <c r="J353" s="23">
        <f>IF($D353="LSF čempionatas",IFERROR($E353/SUMIFS(Parametrai!$B$2:$B$21,Parametrai!$A$2:$A$21,$A353)*SUMIFS(Parametrai!$E$2:$E$21,Parametrai!$A$2:$A$21,$A353),0),IF($D353="Kitos varžybos, deklaruotos reitingui",IFERROR($F353/MAX($G353,SUMIFS(Parametrai!$F$2:$F$21,Parametrai!$A$2:$A$21,$A353))*IF($H353="",1,$H353),0),IF($D353="Susikertančios su Lietuvos čempionatu",0.95*SUMIFS($J$2:$J$500,$B$2:$B$500,$B353,$A$2:$A$500,$A353-1),IF($D353="Papildomi (R+)",IFERROR(MAX(0,($F353-900)/1000),0),0))))</f>
        <v>0</v>
      </c>
    </row>
    <row r="354" spans="10:10" ht="15" customHeight="1" x14ac:dyDescent="0.3">
      <c r="J354" s="23">
        <f>IF($D354="LSF čempionatas",IFERROR($E354/SUMIFS(Parametrai!$B$2:$B$21,Parametrai!$A$2:$A$21,$A354)*SUMIFS(Parametrai!$E$2:$E$21,Parametrai!$A$2:$A$21,$A354),0),IF($D354="Kitos varžybos, deklaruotos reitingui",IFERROR($F354/MAX($G354,SUMIFS(Parametrai!$F$2:$F$21,Parametrai!$A$2:$A$21,$A354))*IF($H354="",1,$H354),0),IF($D354="Susikertančios su Lietuvos čempionatu",0.95*SUMIFS($J$2:$J$500,$B$2:$B$500,$B354,$A$2:$A$500,$A354-1),IF($D354="Papildomi (R+)",IFERROR(MAX(0,($F354-900)/1000),0),0))))</f>
        <v>0</v>
      </c>
    </row>
    <row r="355" spans="10:10" ht="15" customHeight="1" x14ac:dyDescent="0.3">
      <c r="J355" s="23">
        <f>IF($D355="LSF čempionatas",IFERROR($E355/SUMIFS(Parametrai!$B$2:$B$21,Parametrai!$A$2:$A$21,$A355)*SUMIFS(Parametrai!$E$2:$E$21,Parametrai!$A$2:$A$21,$A355),0),IF($D355="Kitos varžybos, deklaruotos reitingui",IFERROR($F355/MAX($G355,SUMIFS(Parametrai!$F$2:$F$21,Parametrai!$A$2:$A$21,$A355))*IF($H355="",1,$H355),0),IF($D355="Susikertančios su Lietuvos čempionatu",0.95*SUMIFS($J$2:$J$500,$B$2:$B$500,$B355,$A$2:$A$500,$A355-1),IF($D355="Papildomi (R+)",IFERROR(MAX(0,($F355-900)/1000),0),0))))</f>
        <v>0</v>
      </c>
    </row>
    <row r="356" spans="10:10" ht="15" customHeight="1" x14ac:dyDescent="0.3">
      <c r="J356" s="23">
        <f>IF($D356="LSF čempionatas",IFERROR($E356/SUMIFS(Parametrai!$B$2:$B$21,Parametrai!$A$2:$A$21,$A356)*SUMIFS(Parametrai!$E$2:$E$21,Parametrai!$A$2:$A$21,$A356),0),IF($D356="Kitos varžybos, deklaruotos reitingui",IFERROR($F356/MAX($G356,SUMIFS(Parametrai!$F$2:$F$21,Parametrai!$A$2:$A$21,$A356))*IF($H356="",1,$H356),0),IF($D356="Susikertančios su Lietuvos čempionatu",0.95*SUMIFS($J$2:$J$500,$B$2:$B$500,$B356,$A$2:$A$500,$A356-1),IF($D356="Papildomi (R+)",IFERROR(MAX(0,($F356-900)/1000),0),0))))</f>
        <v>0</v>
      </c>
    </row>
    <row r="357" spans="10:10" ht="15" customHeight="1" x14ac:dyDescent="0.3">
      <c r="J357" s="23">
        <f>IF($D357="LSF čempionatas",IFERROR($E357/SUMIFS(Parametrai!$B$2:$B$21,Parametrai!$A$2:$A$21,$A357)*SUMIFS(Parametrai!$E$2:$E$21,Parametrai!$A$2:$A$21,$A357),0),IF($D357="Kitos varžybos, deklaruotos reitingui",IFERROR($F357/MAX($G357,SUMIFS(Parametrai!$F$2:$F$21,Parametrai!$A$2:$A$21,$A357))*IF($H357="",1,$H357),0),IF($D357="Susikertančios su Lietuvos čempionatu",0.95*SUMIFS($J$2:$J$500,$B$2:$B$500,$B357,$A$2:$A$500,$A357-1),IF($D357="Papildomi (R+)",IFERROR(MAX(0,($F357-900)/1000),0),0))))</f>
        <v>0</v>
      </c>
    </row>
    <row r="358" spans="10:10" ht="15" customHeight="1" x14ac:dyDescent="0.3">
      <c r="J358" s="23">
        <f>IF($D358="LSF čempionatas",IFERROR($E358/SUMIFS(Parametrai!$B$2:$B$21,Parametrai!$A$2:$A$21,$A358)*SUMIFS(Parametrai!$E$2:$E$21,Parametrai!$A$2:$A$21,$A358),0),IF($D358="Kitos varžybos, deklaruotos reitingui",IFERROR($F358/MAX($G358,SUMIFS(Parametrai!$F$2:$F$21,Parametrai!$A$2:$A$21,$A358))*IF($H358="",1,$H358),0),IF($D358="Susikertančios su Lietuvos čempionatu",0.95*SUMIFS($J$2:$J$500,$B$2:$B$500,$B358,$A$2:$A$500,$A358-1),IF($D358="Papildomi (R+)",IFERROR(MAX(0,($F358-900)/1000),0),0))))</f>
        <v>0</v>
      </c>
    </row>
    <row r="359" spans="10:10" ht="15" customHeight="1" x14ac:dyDescent="0.3">
      <c r="J359" s="23">
        <f>IF($D359="LSF čempionatas",IFERROR($E359/SUMIFS(Parametrai!$B$2:$B$21,Parametrai!$A$2:$A$21,$A359)*SUMIFS(Parametrai!$E$2:$E$21,Parametrai!$A$2:$A$21,$A359),0),IF($D359="Kitos varžybos, deklaruotos reitingui",IFERROR($F359/MAX($G359,SUMIFS(Parametrai!$F$2:$F$21,Parametrai!$A$2:$A$21,$A359))*IF($H359="",1,$H359),0),IF($D359="Susikertančios su Lietuvos čempionatu",0.95*SUMIFS($J$2:$J$500,$B$2:$B$500,$B359,$A$2:$A$500,$A359-1),IF($D359="Papildomi (R+)",IFERROR(MAX(0,($F359-900)/1000),0),0))))</f>
        <v>0</v>
      </c>
    </row>
    <row r="360" spans="10:10" ht="15" customHeight="1" x14ac:dyDescent="0.3">
      <c r="J360" s="23">
        <f>IF($D360="LSF čempionatas",IFERROR($E360/SUMIFS(Parametrai!$B$2:$B$21,Parametrai!$A$2:$A$21,$A360)*SUMIFS(Parametrai!$E$2:$E$21,Parametrai!$A$2:$A$21,$A360),0),IF($D360="Kitos varžybos, deklaruotos reitingui",IFERROR($F360/MAX($G360,SUMIFS(Parametrai!$F$2:$F$21,Parametrai!$A$2:$A$21,$A360))*IF($H360="",1,$H360),0),IF($D360="Susikertančios su Lietuvos čempionatu",0.95*SUMIFS($J$2:$J$500,$B$2:$B$500,$B360,$A$2:$A$500,$A360-1),IF($D360="Papildomi (R+)",IFERROR(MAX(0,($F360-900)/1000),0),0))))</f>
        <v>0</v>
      </c>
    </row>
    <row r="361" spans="10:10" ht="15" customHeight="1" x14ac:dyDescent="0.3">
      <c r="J361" s="23">
        <f>IF($D361="LSF čempionatas",IFERROR($E361/SUMIFS(Parametrai!$B$2:$B$21,Parametrai!$A$2:$A$21,$A361)*SUMIFS(Parametrai!$E$2:$E$21,Parametrai!$A$2:$A$21,$A361),0),IF($D361="Kitos varžybos, deklaruotos reitingui",IFERROR($F361/MAX($G361,SUMIFS(Parametrai!$F$2:$F$21,Parametrai!$A$2:$A$21,$A361))*IF($H361="",1,$H361),0),IF($D361="Susikertančios su Lietuvos čempionatu",0.95*SUMIFS($J$2:$J$500,$B$2:$B$500,$B361,$A$2:$A$500,$A361-1),IF($D361="Papildomi (R+)",IFERROR(MAX(0,($F361-900)/1000),0),0))))</f>
        <v>0</v>
      </c>
    </row>
    <row r="362" spans="10:10" ht="15" customHeight="1" x14ac:dyDescent="0.3">
      <c r="J362" s="23">
        <f>IF($D362="LSF čempionatas",IFERROR($E362/SUMIFS(Parametrai!$B$2:$B$21,Parametrai!$A$2:$A$21,$A362)*SUMIFS(Parametrai!$E$2:$E$21,Parametrai!$A$2:$A$21,$A362),0),IF($D362="Kitos varžybos, deklaruotos reitingui",IFERROR($F362/MAX($G362,SUMIFS(Parametrai!$F$2:$F$21,Parametrai!$A$2:$A$21,$A362))*IF($H362="",1,$H362),0),IF($D362="Susikertančios su Lietuvos čempionatu",0.95*SUMIFS($J$2:$J$500,$B$2:$B$500,$B362,$A$2:$A$500,$A362-1),IF($D362="Papildomi (R+)",IFERROR(MAX(0,($F362-900)/1000),0),0))))</f>
        <v>0</v>
      </c>
    </row>
    <row r="363" spans="10:10" ht="15" customHeight="1" x14ac:dyDescent="0.3">
      <c r="J363" s="23">
        <f>IF($D363="LSF čempionatas",IFERROR($E363/SUMIFS(Parametrai!$B$2:$B$21,Parametrai!$A$2:$A$21,$A363)*SUMIFS(Parametrai!$E$2:$E$21,Parametrai!$A$2:$A$21,$A363),0),IF($D363="Kitos varžybos, deklaruotos reitingui",IFERROR($F363/MAX($G363,SUMIFS(Parametrai!$F$2:$F$21,Parametrai!$A$2:$A$21,$A363))*IF($H363="",1,$H363),0),IF($D363="Susikertančios su Lietuvos čempionatu",0.95*SUMIFS($J$2:$J$500,$B$2:$B$500,$B363,$A$2:$A$500,$A363-1),IF($D363="Papildomi (R+)",IFERROR(MAX(0,($F363-900)/1000),0),0))))</f>
        <v>0</v>
      </c>
    </row>
    <row r="364" spans="10:10" ht="15" customHeight="1" x14ac:dyDescent="0.3">
      <c r="J364" s="23">
        <f>IF($D364="LSF čempionatas",IFERROR($E364/SUMIFS(Parametrai!$B$2:$B$21,Parametrai!$A$2:$A$21,$A364)*SUMIFS(Parametrai!$E$2:$E$21,Parametrai!$A$2:$A$21,$A364),0),IF($D364="Kitos varžybos, deklaruotos reitingui",IFERROR($F364/MAX($G364,SUMIFS(Parametrai!$F$2:$F$21,Parametrai!$A$2:$A$21,$A364))*IF($H364="",1,$H364),0),IF($D364="Susikertančios su Lietuvos čempionatu",0.95*SUMIFS($J$2:$J$500,$B$2:$B$500,$B364,$A$2:$A$500,$A364-1),IF($D364="Papildomi (R+)",IFERROR(MAX(0,($F364-900)/1000),0),0))))</f>
        <v>0</v>
      </c>
    </row>
    <row r="365" spans="10:10" ht="15" customHeight="1" x14ac:dyDescent="0.3">
      <c r="J365" s="23">
        <f>IF($D365="LSF čempionatas",IFERROR($E365/SUMIFS(Parametrai!$B$2:$B$21,Parametrai!$A$2:$A$21,$A365)*SUMIFS(Parametrai!$E$2:$E$21,Parametrai!$A$2:$A$21,$A365),0),IF($D365="Kitos varžybos, deklaruotos reitingui",IFERROR($F365/MAX($G365,SUMIFS(Parametrai!$F$2:$F$21,Parametrai!$A$2:$A$21,$A365))*IF($H365="",1,$H365),0),IF($D365="Susikertančios su Lietuvos čempionatu",0.95*SUMIFS($J$2:$J$500,$B$2:$B$500,$B365,$A$2:$A$500,$A365-1),IF($D365="Papildomi (R+)",IFERROR(MAX(0,($F365-900)/1000),0),0))))</f>
        <v>0</v>
      </c>
    </row>
    <row r="366" spans="10:10" ht="15" customHeight="1" x14ac:dyDescent="0.3">
      <c r="J366" s="23">
        <f>IF($D366="LSF čempionatas",IFERROR($E366/SUMIFS(Parametrai!$B$2:$B$21,Parametrai!$A$2:$A$21,$A366)*SUMIFS(Parametrai!$E$2:$E$21,Parametrai!$A$2:$A$21,$A366),0),IF($D366="Kitos varžybos, deklaruotos reitingui",IFERROR($F366/MAX($G366,SUMIFS(Parametrai!$F$2:$F$21,Parametrai!$A$2:$A$21,$A366))*IF($H366="",1,$H366),0),IF($D366="Susikertančios su Lietuvos čempionatu",0.95*SUMIFS($J$2:$J$500,$B$2:$B$500,$B366,$A$2:$A$500,$A366-1),IF($D366="Papildomi (R+)",IFERROR(MAX(0,($F366-900)/1000),0),0))))</f>
        <v>0</v>
      </c>
    </row>
    <row r="367" spans="10:10" ht="15" customHeight="1" x14ac:dyDescent="0.3">
      <c r="J367" s="23">
        <f>IF($D367="LSF čempionatas",IFERROR($E367/SUMIFS(Parametrai!$B$2:$B$21,Parametrai!$A$2:$A$21,$A367)*SUMIFS(Parametrai!$E$2:$E$21,Parametrai!$A$2:$A$21,$A367),0),IF($D367="Kitos varžybos, deklaruotos reitingui",IFERROR($F367/MAX($G367,SUMIFS(Parametrai!$F$2:$F$21,Parametrai!$A$2:$A$21,$A367))*IF($H367="",1,$H367),0),IF($D367="Susikertančios su Lietuvos čempionatu",0.95*SUMIFS($J$2:$J$500,$B$2:$B$500,$B367,$A$2:$A$500,$A367-1),IF($D367="Papildomi (R+)",IFERROR(MAX(0,($F367-900)/1000),0),0))))</f>
        <v>0</v>
      </c>
    </row>
    <row r="368" spans="10:10" ht="15" customHeight="1" x14ac:dyDescent="0.3">
      <c r="J368" s="23">
        <f>IF($D368="LSF čempionatas",IFERROR($E368/SUMIFS(Parametrai!$B$2:$B$21,Parametrai!$A$2:$A$21,$A368)*SUMIFS(Parametrai!$E$2:$E$21,Parametrai!$A$2:$A$21,$A368),0),IF($D368="Kitos varžybos, deklaruotos reitingui",IFERROR($F368/MAX($G368,SUMIFS(Parametrai!$F$2:$F$21,Parametrai!$A$2:$A$21,$A368))*IF($H368="",1,$H368),0),IF($D368="Susikertančios su Lietuvos čempionatu",0.95*SUMIFS($J$2:$J$500,$B$2:$B$500,$B368,$A$2:$A$500,$A368-1),IF($D368="Papildomi (R+)",IFERROR(MAX(0,($F368-900)/1000),0),0))))</f>
        <v>0</v>
      </c>
    </row>
    <row r="369" spans="10:10" ht="15" customHeight="1" x14ac:dyDescent="0.3">
      <c r="J369" s="23">
        <f>IF($D369="LSF čempionatas",IFERROR($E369/SUMIFS(Parametrai!$B$2:$B$21,Parametrai!$A$2:$A$21,$A369)*SUMIFS(Parametrai!$E$2:$E$21,Parametrai!$A$2:$A$21,$A369),0),IF($D369="Kitos varžybos, deklaruotos reitingui",IFERROR($F369/MAX($G369,SUMIFS(Parametrai!$F$2:$F$21,Parametrai!$A$2:$A$21,$A369))*IF($H369="",1,$H369),0),IF($D369="Susikertančios su Lietuvos čempionatu",0.95*SUMIFS($J$2:$J$500,$B$2:$B$500,$B369,$A$2:$A$500,$A369-1),IF($D369="Papildomi (R+)",IFERROR(MAX(0,($F369-900)/1000),0),0))))</f>
        <v>0</v>
      </c>
    </row>
    <row r="370" spans="10:10" ht="15" customHeight="1" x14ac:dyDescent="0.3">
      <c r="J370" s="23">
        <f>IF($D370="LSF čempionatas",IFERROR($E370/SUMIFS(Parametrai!$B$2:$B$21,Parametrai!$A$2:$A$21,$A370)*SUMIFS(Parametrai!$E$2:$E$21,Parametrai!$A$2:$A$21,$A370),0),IF($D370="Kitos varžybos, deklaruotos reitingui",IFERROR($F370/MAX($G370,SUMIFS(Parametrai!$F$2:$F$21,Parametrai!$A$2:$A$21,$A370))*IF($H370="",1,$H370),0),IF($D370="Susikertančios su Lietuvos čempionatu",0.95*SUMIFS($J$2:$J$500,$B$2:$B$500,$B370,$A$2:$A$500,$A370-1),IF($D370="Papildomi (R+)",IFERROR(MAX(0,($F370-900)/1000),0),0))))</f>
        <v>0</v>
      </c>
    </row>
    <row r="371" spans="10:10" ht="15" customHeight="1" x14ac:dyDescent="0.3">
      <c r="J371" s="23">
        <f>IF($D371="LSF čempionatas",IFERROR($E371/SUMIFS(Parametrai!$B$2:$B$21,Parametrai!$A$2:$A$21,$A371)*SUMIFS(Parametrai!$E$2:$E$21,Parametrai!$A$2:$A$21,$A371),0),IF($D371="Kitos varžybos, deklaruotos reitingui",IFERROR($F371/MAX($G371,SUMIFS(Parametrai!$F$2:$F$21,Parametrai!$A$2:$A$21,$A371))*IF($H371="",1,$H371),0),IF($D371="Susikertančios su Lietuvos čempionatu",0.95*SUMIFS($J$2:$J$500,$B$2:$B$500,$B371,$A$2:$A$500,$A371-1),IF($D371="Papildomi (R+)",IFERROR(MAX(0,($F371-900)/1000),0),0))))</f>
        <v>0</v>
      </c>
    </row>
    <row r="372" spans="10:10" ht="15" customHeight="1" x14ac:dyDescent="0.3">
      <c r="J372" s="23">
        <f>IF($D372="LSF čempionatas",IFERROR($E372/SUMIFS(Parametrai!$B$2:$B$21,Parametrai!$A$2:$A$21,$A372)*SUMIFS(Parametrai!$E$2:$E$21,Parametrai!$A$2:$A$21,$A372),0),IF($D372="Kitos varžybos, deklaruotos reitingui",IFERROR($F372/MAX($G372,SUMIFS(Parametrai!$F$2:$F$21,Parametrai!$A$2:$A$21,$A372))*IF($H372="",1,$H372),0),IF($D372="Susikertančios su Lietuvos čempionatu",0.95*SUMIFS($J$2:$J$500,$B$2:$B$500,$B372,$A$2:$A$500,$A372-1),IF($D372="Papildomi (R+)",IFERROR(MAX(0,($F372-900)/1000),0),0))))</f>
        <v>0</v>
      </c>
    </row>
    <row r="373" spans="10:10" ht="15" customHeight="1" x14ac:dyDescent="0.3">
      <c r="J373" s="23">
        <f>IF($D373="LSF čempionatas",IFERROR($E373/SUMIFS(Parametrai!$B$2:$B$21,Parametrai!$A$2:$A$21,$A373)*SUMIFS(Parametrai!$E$2:$E$21,Parametrai!$A$2:$A$21,$A373),0),IF($D373="Kitos varžybos, deklaruotos reitingui",IFERROR($F373/MAX($G373,SUMIFS(Parametrai!$F$2:$F$21,Parametrai!$A$2:$A$21,$A373))*IF($H373="",1,$H373),0),IF($D373="Susikertančios su Lietuvos čempionatu",0.95*SUMIFS($J$2:$J$500,$B$2:$B$500,$B373,$A$2:$A$500,$A373-1),IF($D373="Papildomi (R+)",IFERROR(MAX(0,($F373-900)/1000),0),0))))</f>
        <v>0</v>
      </c>
    </row>
    <row r="374" spans="10:10" ht="15" customHeight="1" x14ac:dyDescent="0.3">
      <c r="J374" s="23">
        <f>IF($D374="LSF čempionatas",IFERROR($E374/SUMIFS(Parametrai!$B$2:$B$21,Parametrai!$A$2:$A$21,$A374)*SUMIFS(Parametrai!$E$2:$E$21,Parametrai!$A$2:$A$21,$A374),0),IF($D374="Kitos varžybos, deklaruotos reitingui",IFERROR($F374/MAX($G374,SUMIFS(Parametrai!$F$2:$F$21,Parametrai!$A$2:$A$21,$A374))*IF($H374="",1,$H374),0),IF($D374="Susikertančios su Lietuvos čempionatu",0.95*SUMIFS($J$2:$J$500,$B$2:$B$500,$B374,$A$2:$A$500,$A374-1),IF($D374="Papildomi (R+)",IFERROR(MAX(0,($F374-900)/1000),0),0))))</f>
        <v>0</v>
      </c>
    </row>
    <row r="375" spans="10:10" ht="15" customHeight="1" x14ac:dyDescent="0.3">
      <c r="J375" s="23">
        <f>IF($D375="LSF čempionatas",IFERROR($E375/SUMIFS(Parametrai!$B$2:$B$21,Parametrai!$A$2:$A$21,$A375)*SUMIFS(Parametrai!$E$2:$E$21,Parametrai!$A$2:$A$21,$A375),0),IF($D375="Kitos varžybos, deklaruotos reitingui",IFERROR($F375/MAX($G375,SUMIFS(Parametrai!$F$2:$F$21,Parametrai!$A$2:$A$21,$A375))*IF($H375="",1,$H375),0),IF($D375="Susikertančios su Lietuvos čempionatu",0.95*SUMIFS($J$2:$J$500,$B$2:$B$500,$B375,$A$2:$A$500,$A375-1),IF($D375="Papildomi (R+)",IFERROR(MAX(0,($F375-900)/1000),0),0))))</f>
        <v>0</v>
      </c>
    </row>
    <row r="376" spans="10:10" ht="15" customHeight="1" x14ac:dyDescent="0.3">
      <c r="J376" s="23">
        <f>IF($D376="LSF čempionatas",IFERROR($E376/SUMIFS(Parametrai!$B$2:$B$21,Parametrai!$A$2:$A$21,$A376)*SUMIFS(Parametrai!$E$2:$E$21,Parametrai!$A$2:$A$21,$A376),0),IF($D376="Kitos varžybos, deklaruotos reitingui",IFERROR($F376/MAX($G376,SUMIFS(Parametrai!$F$2:$F$21,Parametrai!$A$2:$A$21,$A376))*IF($H376="",1,$H376),0),IF($D376="Susikertančios su Lietuvos čempionatu",0.95*SUMIFS($J$2:$J$500,$B$2:$B$500,$B376,$A$2:$A$500,$A376-1),IF($D376="Papildomi (R+)",IFERROR(MAX(0,($F376-900)/1000),0),0))))</f>
        <v>0</v>
      </c>
    </row>
    <row r="377" spans="10:10" ht="15" customHeight="1" x14ac:dyDescent="0.3">
      <c r="J377" s="23">
        <f>IF($D377="LSF čempionatas",IFERROR($E377/SUMIFS(Parametrai!$B$2:$B$21,Parametrai!$A$2:$A$21,$A377)*SUMIFS(Parametrai!$E$2:$E$21,Parametrai!$A$2:$A$21,$A377),0),IF($D377="Kitos varžybos, deklaruotos reitingui",IFERROR($F377/MAX($G377,SUMIFS(Parametrai!$F$2:$F$21,Parametrai!$A$2:$A$21,$A377))*IF($H377="",1,$H377),0),IF($D377="Susikertančios su Lietuvos čempionatu",0.95*SUMIFS($J$2:$J$500,$B$2:$B$500,$B377,$A$2:$A$500,$A377-1),IF($D377="Papildomi (R+)",IFERROR(MAX(0,($F377-900)/1000),0),0))))</f>
        <v>0</v>
      </c>
    </row>
    <row r="378" spans="10:10" ht="15" customHeight="1" x14ac:dyDescent="0.3">
      <c r="J378" s="23">
        <f>IF($D378="LSF čempionatas",IFERROR($E378/SUMIFS(Parametrai!$B$2:$B$21,Parametrai!$A$2:$A$21,$A378)*SUMIFS(Parametrai!$E$2:$E$21,Parametrai!$A$2:$A$21,$A378),0),IF($D378="Kitos varžybos, deklaruotos reitingui",IFERROR($F378/MAX($G378,SUMIFS(Parametrai!$F$2:$F$21,Parametrai!$A$2:$A$21,$A378))*IF($H378="",1,$H378),0),IF($D378="Susikertančios su Lietuvos čempionatu",0.95*SUMIFS($J$2:$J$500,$B$2:$B$500,$B378,$A$2:$A$500,$A378-1),IF($D378="Papildomi (R+)",IFERROR(MAX(0,($F378-900)/1000),0),0))))</f>
        <v>0</v>
      </c>
    </row>
    <row r="379" spans="10:10" ht="15" customHeight="1" x14ac:dyDescent="0.3">
      <c r="J379" s="23">
        <f>IF($D379="LSF čempionatas",IFERROR($E379/SUMIFS(Parametrai!$B$2:$B$21,Parametrai!$A$2:$A$21,$A379)*SUMIFS(Parametrai!$E$2:$E$21,Parametrai!$A$2:$A$21,$A379),0),IF($D379="Kitos varžybos, deklaruotos reitingui",IFERROR($F379/MAX($G379,SUMIFS(Parametrai!$F$2:$F$21,Parametrai!$A$2:$A$21,$A379))*IF($H379="",1,$H379),0),IF($D379="Susikertančios su Lietuvos čempionatu",0.95*SUMIFS($J$2:$J$500,$B$2:$B$500,$B379,$A$2:$A$500,$A379-1),IF($D379="Papildomi (R+)",IFERROR(MAX(0,($F379-900)/1000),0),0))))</f>
        <v>0</v>
      </c>
    </row>
    <row r="380" spans="10:10" ht="15" customHeight="1" x14ac:dyDescent="0.3">
      <c r="J380" s="23">
        <f>IF($D380="LSF čempionatas",IFERROR($E380/SUMIFS(Parametrai!$B$2:$B$21,Parametrai!$A$2:$A$21,$A380)*SUMIFS(Parametrai!$E$2:$E$21,Parametrai!$A$2:$A$21,$A380),0),IF($D380="Kitos varžybos, deklaruotos reitingui",IFERROR($F380/MAX($G380,SUMIFS(Parametrai!$F$2:$F$21,Parametrai!$A$2:$A$21,$A380))*IF($H380="",1,$H380),0),IF($D380="Susikertančios su Lietuvos čempionatu",0.95*SUMIFS($J$2:$J$500,$B$2:$B$500,$B380,$A$2:$A$500,$A380-1),IF($D380="Papildomi (R+)",IFERROR(MAX(0,($F380-900)/1000),0),0))))</f>
        <v>0</v>
      </c>
    </row>
    <row r="381" spans="10:10" ht="15" customHeight="1" x14ac:dyDescent="0.3">
      <c r="J381" s="23">
        <f>IF($D381="LSF čempionatas",IFERROR($E381/SUMIFS(Parametrai!$B$2:$B$21,Parametrai!$A$2:$A$21,$A381)*SUMIFS(Parametrai!$E$2:$E$21,Parametrai!$A$2:$A$21,$A381),0),IF($D381="Kitos varžybos, deklaruotos reitingui",IFERROR($F381/MAX($G381,SUMIFS(Parametrai!$F$2:$F$21,Parametrai!$A$2:$A$21,$A381))*IF($H381="",1,$H381),0),IF($D381="Susikertančios su Lietuvos čempionatu",0.95*SUMIFS($J$2:$J$500,$B$2:$B$500,$B381,$A$2:$A$500,$A381-1),IF($D381="Papildomi (R+)",IFERROR(MAX(0,($F381-900)/1000),0),0))))</f>
        <v>0</v>
      </c>
    </row>
    <row r="382" spans="10:10" ht="15" customHeight="1" x14ac:dyDescent="0.3">
      <c r="J382" s="23">
        <f>IF($D382="LSF čempionatas",IFERROR($E382/SUMIFS(Parametrai!$B$2:$B$21,Parametrai!$A$2:$A$21,$A382)*SUMIFS(Parametrai!$E$2:$E$21,Parametrai!$A$2:$A$21,$A382),0),IF($D382="Kitos varžybos, deklaruotos reitingui",IFERROR($F382/MAX($G382,SUMIFS(Parametrai!$F$2:$F$21,Parametrai!$A$2:$A$21,$A382))*IF($H382="",1,$H382),0),IF($D382="Susikertančios su Lietuvos čempionatu",0.95*SUMIFS($J$2:$J$500,$B$2:$B$500,$B382,$A$2:$A$500,$A382-1),IF($D382="Papildomi (R+)",IFERROR(MAX(0,($F382-900)/1000),0),0))))</f>
        <v>0</v>
      </c>
    </row>
    <row r="383" spans="10:10" ht="15" customHeight="1" x14ac:dyDescent="0.3">
      <c r="J383" s="23">
        <f>IF($D383="LSF čempionatas",IFERROR($E383/SUMIFS(Parametrai!$B$2:$B$21,Parametrai!$A$2:$A$21,$A383)*SUMIFS(Parametrai!$E$2:$E$21,Parametrai!$A$2:$A$21,$A383),0),IF($D383="Kitos varžybos, deklaruotos reitingui",IFERROR($F383/MAX($G383,SUMIFS(Parametrai!$F$2:$F$21,Parametrai!$A$2:$A$21,$A383))*IF($H383="",1,$H383),0),IF($D383="Susikertančios su Lietuvos čempionatu",0.95*SUMIFS($J$2:$J$500,$B$2:$B$500,$B383,$A$2:$A$500,$A383-1),IF($D383="Papildomi (R+)",IFERROR(MAX(0,($F383-900)/1000),0),0))))</f>
        <v>0</v>
      </c>
    </row>
    <row r="384" spans="10:10" ht="15" customHeight="1" x14ac:dyDescent="0.3">
      <c r="J384" s="23">
        <f>IF($D384="LSF čempionatas",IFERROR($E384/SUMIFS(Parametrai!$B$2:$B$21,Parametrai!$A$2:$A$21,$A384)*SUMIFS(Parametrai!$E$2:$E$21,Parametrai!$A$2:$A$21,$A384),0),IF($D384="Kitos varžybos, deklaruotos reitingui",IFERROR($F384/MAX($G384,SUMIFS(Parametrai!$F$2:$F$21,Parametrai!$A$2:$A$21,$A384))*IF($H384="",1,$H384),0),IF($D384="Susikertančios su Lietuvos čempionatu",0.95*SUMIFS($J$2:$J$500,$B$2:$B$500,$B384,$A$2:$A$500,$A384-1),IF($D384="Papildomi (R+)",IFERROR(MAX(0,($F384-900)/1000),0),0))))</f>
        <v>0</v>
      </c>
    </row>
    <row r="385" spans="10:10" ht="15" customHeight="1" x14ac:dyDescent="0.3">
      <c r="J385" s="23">
        <f>IF($D385="LSF čempionatas",IFERROR($E385/SUMIFS(Parametrai!$B$2:$B$21,Parametrai!$A$2:$A$21,$A385)*SUMIFS(Parametrai!$E$2:$E$21,Parametrai!$A$2:$A$21,$A385),0),IF($D385="Kitos varžybos, deklaruotos reitingui",IFERROR($F385/MAX($G385,SUMIFS(Parametrai!$F$2:$F$21,Parametrai!$A$2:$A$21,$A385))*IF($H385="",1,$H385),0),IF($D385="Susikertančios su Lietuvos čempionatu",0.95*SUMIFS($J$2:$J$500,$B$2:$B$500,$B385,$A$2:$A$500,$A385-1),IF($D385="Papildomi (R+)",IFERROR(MAX(0,($F385-900)/1000),0),0))))</f>
        <v>0</v>
      </c>
    </row>
    <row r="386" spans="10:10" ht="15" customHeight="1" x14ac:dyDescent="0.3">
      <c r="J386" s="23">
        <f>IF($D386="LSF čempionatas",IFERROR($E386/SUMIFS(Parametrai!$B$2:$B$21,Parametrai!$A$2:$A$21,$A386)*SUMIFS(Parametrai!$E$2:$E$21,Parametrai!$A$2:$A$21,$A386),0),IF($D386="Kitos varžybos, deklaruotos reitingui",IFERROR($F386/MAX($G386,SUMIFS(Parametrai!$F$2:$F$21,Parametrai!$A$2:$A$21,$A386))*IF($H386="",1,$H386),0),IF($D386="Susikertančios su Lietuvos čempionatu",0.95*SUMIFS($J$2:$J$500,$B$2:$B$500,$B386,$A$2:$A$500,$A386-1),IF($D386="Papildomi (R+)",IFERROR(MAX(0,($F386-900)/1000),0),0))))</f>
        <v>0</v>
      </c>
    </row>
    <row r="387" spans="10:10" ht="15" customHeight="1" x14ac:dyDescent="0.3">
      <c r="J387" s="23">
        <f>IF($D387="LSF čempionatas",IFERROR($E387/SUMIFS(Parametrai!$B$2:$B$21,Parametrai!$A$2:$A$21,$A387)*SUMIFS(Parametrai!$E$2:$E$21,Parametrai!$A$2:$A$21,$A387),0),IF($D387="Kitos varžybos, deklaruotos reitingui",IFERROR($F387/MAX($G387,SUMIFS(Parametrai!$F$2:$F$21,Parametrai!$A$2:$A$21,$A387))*IF($H387="",1,$H387),0),IF($D387="Susikertančios su Lietuvos čempionatu",0.95*SUMIFS($J$2:$J$500,$B$2:$B$500,$B387,$A$2:$A$500,$A387-1),IF($D387="Papildomi (R+)",IFERROR(MAX(0,($F387-900)/1000),0),0))))</f>
        <v>0</v>
      </c>
    </row>
    <row r="388" spans="10:10" ht="15" customHeight="1" x14ac:dyDescent="0.3">
      <c r="J388" s="23">
        <f>IF($D388="LSF čempionatas",IFERROR($E388/SUMIFS(Parametrai!$B$2:$B$21,Parametrai!$A$2:$A$21,$A388)*SUMIFS(Parametrai!$E$2:$E$21,Parametrai!$A$2:$A$21,$A388),0),IF($D388="Kitos varžybos, deklaruotos reitingui",IFERROR($F388/MAX($G388,SUMIFS(Parametrai!$F$2:$F$21,Parametrai!$A$2:$A$21,$A388))*IF($H388="",1,$H388),0),IF($D388="Susikertančios su Lietuvos čempionatu",0.95*SUMIFS($J$2:$J$500,$B$2:$B$500,$B388,$A$2:$A$500,$A388-1),IF($D388="Papildomi (R+)",IFERROR(MAX(0,($F388-900)/1000),0),0))))</f>
        <v>0</v>
      </c>
    </row>
    <row r="389" spans="10:10" ht="15" customHeight="1" x14ac:dyDescent="0.3">
      <c r="J389" s="23">
        <f>IF($D389="LSF čempionatas",IFERROR($E389/SUMIFS(Parametrai!$B$2:$B$21,Parametrai!$A$2:$A$21,$A389)*SUMIFS(Parametrai!$E$2:$E$21,Parametrai!$A$2:$A$21,$A389),0),IF($D389="Kitos varžybos, deklaruotos reitingui",IFERROR($F389/MAX($G389,SUMIFS(Parametrai!$F$2:$F$21,Parametrai!$A$2:$A$21,$A389))*IF($H389="",1,$H389),0),IF($D389="Susikertančios su Lietuvos čempionatu",0.95*SUMIFS($J$2:$J$500,$B$2:$B$500,$B389,$A$2:$A$500,$A389-1),IF($D389="Papildomi (R+)",IFERROR(MAX(0,($F389-900)/1000),0),0))))</f>
        <v>0</v>
      </c>
    </row>
    <row r="390" spans="10:10" ht="15" customHeight="1" x14ac:dyDescent="0.3">
      <c r="J390" s="23">
        <f>IF($D390="LSF čempionatas",IFERROR($E390/SUMIFS(Parametrai!$B$2:$B$21,Parametrai!$A$2:$A$21,$A390)*SUMIFS(Parametrai!$E$2:$E$21,Parametrai!$A$2:$A$21,$A390),0),IF($D390="Kitos varžybos, deklaruotos reitingui",IFERROR($F390/MAX($G390,SUMIFS(Parametrai!$F$2:$F$21,Parametrai!$A$2:$A$21,$A390))*IF($H390="",1,$H390),0),IF($D390="Susikertančios su Lietuvos čempionatu",0.95*SUMIFS($J$2:$J$500,$B$2:$B$500,$B390,$A$2:$A$500,$A390-1),IF($D390="Papildomi (R+)",IFERROR(MAX(0,($F390-900)/1000),0),0))))</f>
        <v>0</v>
      </c>
    </row>
    <row r="391" spans="10:10" ht="15" customHeight="1" x14ac:dyDescent="0.3">
      <c r="J391" s="23">
        <f>IF($D391="LSF čempionatas",IFERROR($E391/SUMIFS(Parametrai!$B$2:$B$21,Parametrai!$A$2:$A$21,$A391)*SUMIFS(Parametrai!$E$2:$E$21,Parametrai!$A$2:$A$21,$A391),0),IF($D391="Kitos varžybos, deklaruotos reitingui",IFERROR($F391/MAX($G391,SUMIFS(Parametrai!$F$2:$F$21,Parametrai!$A$2:$A$21,$A391))*IF($H391="",1,$H391),0),IF($D391="Susikertančios su Lietuvos čempionatu",0.95*SUMIFS($J$2:$J$500,$B$2:$B$500,$B391,$A$2:$A$500,$A391-1),IF($D391="Papildomi (R+)",IFERROR(MAX(0,($F391-900)/1000),0),0))))</f>
        <v>0</v>
      </c>
    </row>
    <row r="392" spans="10:10" ht="15" customHeight="1" x14ac:dyDescent="0.3">
      <c r="J392" s="23">
        <f>IF($D392="LSF čempionatas",IFERROR($E392/SUMIFS(Parametrai!$B$2:$B$21,Parametrai!$A$2:$A$21,$A392)*SUMIFS(Parametrai!$E$2:$E$21,Parametrai!$A$2:$A$21,$A392),0),IF($D392="Kitos varžybos, deklaruotos reitingui",IFERROR($F392/MAX($G392,SUMIFS(Parametrai!$F$2:$F$21,Parametrai!$A$2:$A$21,$A392))*IF($H392="",1,$H392),0),IF($D392="Susikertančios su Lietuvos čempionatu",0.95*SUMIFS($J$2:$J$500,$B$2:$B$500,$B392,$A$2:$A$500,$A392-1),IF($D392="Papildomi (R+)",IFERROR(MAX(0,($F392-900)/1000),0),0))))</f>
        <v>0</v>
      </c>
    </row>
    <row r="393" spans="10:10" ht="15" customHeight="1" x14ac:dyDescent="0.3">
      <c r="J393" s="23">
        <f>IF($D393="LSF čempionatas",IFERROR($E393/SUMIFS(Parametrai!$B$2:$B$21,Parametrai!$A$2:$A$21,$A393)*SUMIFS(Parametrai!$E$2:$E$21,Parametrai!$A$2:$A$21,$A393),0),IF($D393="Kitos varžybos, deklaruotos reitingui",IFERROR($F393/MAX($G393,SUMIFS(Parametrai!$F$2:$F$21,Parametrai!$A$2:$A$21,$A393))*IF($H393="",1,$H393),0),IF($D393="Susikertančios su Lietuvos čempionatu",0.95*SUMIFS($J$2:$J$500,$B$2:$B$500,$B393,$A$2:$A$500,$A393-1),IF($D393="Papildomi (R+)",IFERROR(MAX(0,($F393-900)/1000),0),0))))</f>
        <v>0</v>
      </c>
    </row>
    <row r="394" spans="10:10" ht="15" customHeight="1" x14ac:dyDescent="0.3">
      <c r="J394" s="23">
        <f>IF($D394="LSF čempionatas",IFERROR($E394/SUMIFS(Parametrai!$B$2:$B$21,Parametrai!$A$2:$A$21,$A394)*SUMIFS(Parametrai!$E$2:$E$21,Parametrai!$A$2:$A$21,$A394),0),IF($D394="Kitos varžybos, deklaruotos reitingui",IFERROR($F394/MAX($G394,SUMIFS(Parametrai!$F$2:$F$21,Parametrai!$A$2:$A$21,$A394))*IF($H394="",1,$H394),0),IF($D394="Susikertančios su Lietuvos čempionatu",0.95*SUMIFS($J$2:$J$500,$B$2:$B$500,$B394,$A$2:$A$500,$A394-1),IF($D394="Papildomi (R+)",IFERROR(MAX(0,($F394-900)/1000),0),0))))</f>
        <v>0</v>
      </c>
    </row>
    <row r="395" spans="10:10" ht="15" customHeight="1" x14ac:dyDescent="0.3">
      <c r="J395" s="23">
        <f>IF($D395="LSF čempionatas",IFERROR($E395/SUMIFS(Parametrai!$B$2:$B$21,Parametrai!$A$2:$A$21,$A395)*SUMIFS(Parametrai!$E$2:$E$21,Parametrai!$A$2:$A$21,$A395),0),IF($D395="Kitos varžybos, deklaruotos reitingui",IFERROR($F395/MAX($G395,SUMIFS(Parametrai!$F$2:$F$21,Parametrai!$A$2:$A$21,$A395))*IF($H395="",1,$H395),0),IF($D395="Susikertančios su Lietuvos čempionatu",0.95*SUMIFS($J$2:$J$500,$B$2:$B$500,$B395,$A$2:$A$500,$A395-1),IF($D395="Papildomi (R+)",IFERROR(MAX(0,($F395-900)/1000),0),0))))</f>
        <v>0</v>
      </c>
    </row>
    <row r="396" spans="10:10" ht="15" customHeight="1" x14ac:dyDescent="0.3">
      <c r="J396" s="23">
        <f>IF($D396="LSF čempionatas",IFERROR($E396/SUMIFS(Parametrai!$B$2:$B$21,Parametrai!$A$2:$A$21,$A396)*SUMIFS(Parametrai!$E$2:$E$21,Parametrai!$A$2:$A$21,$A396),0),IF($D396="Kitos varžybos, deklaruotos reitingui",IFERROR($F396/MAX($G396,SUMIFS(Parametrai!$F$2:$F$21,Parametrai!$A$2:$A$21,$A396))*IF($H396="",1,$H396),0),IF($D396="Susikertančios su Lietuvos čempionatu",0.95*SUMIFS($J$2:$J$500,$B$2:$B$500,$B396,$A$2:$A$500,$A396-1),IF($D396="Papildomi (R+)",IFERROR(MAX(0,($F396-900)/1000),0),0))))</f>
        <v>0</v>
      </c>
    </row>
    <row r="397" spans="10:10" ht="15" customHeight="1" x14ac:dyDescent="0.3">
      <c r="J397" s="23">
        <f>IF($D397="LSF čempionatas",IFERROR($E397/SUMIFS(Parametrai!$B$2:$B$21,Parametrai!$A$2:$A$21,$A397)*SUMIFS(Parametrai!$E$2:$E$21,Parametrai!$A$2:$A$21,$A397),0),IF($D397="Kitos varžybos, deklaruotos reitingui",IFERROR($F397/MAX($G397,SUMIFS(Parametrai!$F$2:$F$21,Parametrai!$A$2:$A$21,$A397))*IF($H397="",1,$H397),0),IF($D397="Susikertančios su Lietuvos čempionatu",0.95*SUMIFS($J$2:$J$500,$B$2:$B$500,$B397,$A$2:$A$500,$A397-1),IF($D397="Papildomi (R+)",IFERROR(MAX(0,($F397-900)/1000),0),0))))</f>
        <v>0</v>
      </c>
    </row>
    <row r="398" spans="10:10" ht="15" customHeight="1" x14ac:dyDescent="0.3">
      <c r="J398" s="23">
        <f>IF($D398="LSF čempionatas",IFERROR($E398/SUMIFS(Parametrai!$B$2:$B$21,Parametrai!$A$2:$A$21,$A398)*SUMIFS(Parametrai!$E$2:$E$21,Parametrai!$A$2:$A$21,$A398),0),IF($D398="Kitos varžybos, deklaruotos reitingui",IFERROR($F398/MAX($G398,SUMIFS(Parametrai!$F$2:$F$21,Parametrai!$A$2:$A$21,$A398))*IF($H398="",1,$H398),0),IF($D398="Susikertančios su Lietuvos čempionatu",0.95*SUMIFS($J$2:$J$500,$B$2:$B$500,$B398,$A$2:$A$500,$A398-1),IF($D398="Papildomi (R+)",IFERROR(MAX(0,($F398-900)/1000),0),0))))</f>
        <v>0</v>
      </c>
    </row>
    <row r="399" spans="10:10" ht="15" customHeight="1" x14ac:dyDescent="0.3">
      <c r="J399" s="23">
        <f>IF($D399="LSF čempionatas",IFERROR($E399/SUMIFS(Parametrai!$B$2:$B$21,Parametrai!$A$2:$A$21,$A399)*SUMIFS(Parametrai!$E$2:$E$21,Parametrai!$A$2:$A$21,$A399),0),IF($D399="Kitos varžybos, deklaruotos reitingui",IFERROR($F399/MAX($G399,SUMIFS(Parametrai!$F$2:$F$21,Parametrai!$A$2:$A$21,$A399))*IF($H399="",1,$H399),0),IF($D399="Susikertančios su Lietuvos čempionatu",0.95*SUMIFS($J$2:$J$500,$B$2:$B$500,$B399,$A$2:$A$500,$A399-1),IF($D399="Papildomi (R+)",IFERROR(MAX(0,($F399-900)/1000),0),0))))</f>
        <v>0</v>
      </c>
    </row>
    <row r="400" spans="10:10" ht="15" customHeight="1" x14ac:dyDescent="0.3">
      <c r="J400" s="23">
        <f>IF($D400="LSF čempionatas",IFERROR($E400/SUMIFS(Parametrai!$B$2:$B$21,Parametrai!$A$2:$A$21,$A400)*SUMIFS(Parametrai!$E$2:$E$21,Parametrai!$A$2:$A$21,$A400),0),IF($D400="Kitos varžybos, deklaruotos reitingui",IFERROR($F400/MAX($G400,SUMIFS(Parametrai!$F$2:$F$21,Parametrai!$A$2:$A$21,$A400))*IF($H400="",1,$H400),0),IF($D400="Susikertančios su Lietuvos čempionatu",0.95*SUMIFS($J$2:$J$500,$B$2:$B$500,$B400,$A$2:$A$500,$A400-1),IF($D400="Papildomi (R+)",IFERROR(MAX(0,($F400-900)/1000),0),0))))</f>
        <v>0</v>
      </c>
    </row>
    <row r="401" spans="10:10" ht="15" customHeight="1" x14ac:dyDescent="0.3">
      <c r="J401" s="23">
        <f>IF($D401="LSF čempionatas",IFERROR($E401/SUMIFS(Parametrai!$B$2:$B$21,Parametrai!$A$2:$A$21,$A401)*SUMIFS(Parametrai!$E$2:$E$21,Parametrai!$A$2:$A$21,$A401),0),IF($D401="Kitos varžybos, deklaruotos reitingui",IFERROR($F401/MAX($G401,SUMIFS(Parametrai!$F$2:$F$21,Parametrai!$A$2:$A$21,$A401))*IF($H401="",1,$H401),0),IF($D401="Susikertančios su Lietuvos čempionatu",0.95*SUMIFS($J$2:$J$500,$B$2:$B$500,$B401,$A$2:$A$500,$A401-1),IF($D401="Papildomi (R+)",IFERROR(MAX(0,($F401-900)/1000),0),0))))</f>
        <v>0</v>
      </c>
    </row>
    <row r="402" spans="10:10" ht="15" customHeight="1" x14ac:dyDescent="0.3">
      <c r="J402" s="23">
        <f>IF($D402="LSF čempionatas",IFERROR($E402/SUMIFS(Parametrai!$B$2:$B$21,Parametrai!$A$2:$A$21,$A402)*SUMIFS(Parametrai!$E$2:$E$21,Parametrai!$A$2:$A$21,$A402),0),IF($D402="Kitos varžybos, deklaruotos reitingui",IFERROR($F402/MAX($G402,SUMIFS(Parametrai!$F$2:$F$21,Parametrai!$A$2:$A$21,$A402))*IF($H402="",1,$H402),0),IF($D402="Susikertančios su Lietuvos čempionatu",0.95*SUMIFS($J$2:$J$500,$B$2:$B$500,$B402,$A$2:$A$500,$A402-1),IF($D402="Papildomi (R+)",IFERROR(MAX(0,($F402-900)/1000),0),0))))</f>
        <v>0</v>
      </c>
    </row>
    <row r="403" spans="10:10" ht="15" customHeight="1" x14ac:dyDescent="0.3">
      <c r="J403" s="23">
        <f>IF($D403="LSF čempionatas",IFERROR($E403/SUMIFS(Parametrai!$B$2:$B$21,Parametrai!$A$2:$A$21,$A403)*SUMIFS(Parametrai!$E$2:$E$21,Parametrai!$A$2:$A$21,$A403),0),IF($D403="Kitos varžybos, deklaruotos reitingui",IFERROR($F403/MAX($G403,SUMIFS(Parametrai!$F$2:$F$21,Parametrai!$A$2:$A$21,$A403))*IF($H403="",1,$H403),0),IF($D403="Susikertančios su Lietuvos čempionatu",0.95*SUMIFS($J$2:$J$500,$B$2:$B$500,$B403,$A$2:$A$500,$A403-1),IF($D403="Papildomi (R+)",IFERROR(MAX(0,($F403-900)/1000),0),0))))</f>
        <v>0</v>
      </c>
    </row>
    <row r="404" spans="10:10" ht="15" customHeight="1" x14ac:dyDescent="0.3">
      <c r="J404" s="23">
        <f>IF($D404="LSF čempionatas",IFERROR($E404/SUMIFS(Parametrai!$B$2:$B$21,Parametrai!$A$2:$A$21,$A404)*SUMIFS(Parametrai!$E$2:$E$21,Parametrai!$A$2:$A$21,$A404),0),IF($D404="Kitos varžybos, deklaruotos reitingui",IFERROR($F404/MAX($G404,SUMIFS(Parametrai!$F$2:$F$21,Parametrai!$A$2:$A$21,$A404))*IF($H404="",1,$H404),0),IF($D404="Susikertančios su Lietuvos čempionatu",0.95*SUMIFS($J$2:$J$500,$B$2:$B$500,$B404,$A$2:$A$500,$A404-1),IF($D404="Papildomi (R+)",IFERROR(MAX(0,($F404-900)/1000),0),0))))</f>
        <v>0</v>
      </c>
    </row>
    <row r="405" spans="10:10" ht="15" customHeight="1" x14ac:dyDescent="0.3">
      <c r="J405" s="23">
        <f>IF($D405="LSF čempionatas",IFERROR($E405/SUMIFS(Parametrai!$B$2:$B$21,Parametrai!$A$2:$A$21,$A405)*SUMIFS(Parametrai!$E$2:$E$21,Parametrai!$A$2:$A$21,$A405),0),IF($D405="Kitos varžybos, deklaruotos reitingui",IFERROR($F405/MAX($G405,SUMIFS(Parametrai!$F$2:$F$21,Parametrai!$A$2:$A$21,$A405))*IF($H405="",1,$H405),0),IF($D405="Susikertančios su Lietuvos čempionatu",0.95*SUMIFS($J$2:$J$500,$B$2:$B$500,$B405,$A$2:$A$500,$A405-1),IF($D405="Papildomi (R+)",IFERROR(MAX(0,($F405-900)/1000),0),0))))</f>
        <v>0</v>
      </c>
    </row>
    <row r="406" spans="10:10" ht="15" customHeight="1" x14ac:dyDescent="0.3">
      <c r="J406" s="23">
        <f>IF($D406="LSF čempionatas",IFERROR($E406/SUMIFS(Parametrai!$B$2:$B$21,Parametrai!$A$2:$A$21,$A406)*SUMIFS(Parametrai!$E$2:$E$21,Parametrai!$A$2:$A$21,$A406),0),IF($D406="Kitos varžybos, deklaruotos reitingui",IFERROR($F406/MAX($G406,SUMIFS(Parametrai!$F$2:$F$21,Parametrai!$A$2:$A$21,$A406))*IF($H406="",1,$H406),0),IF($D406="Susikertančios su Lietuvos čempionatu",0.95*SUMIFS($J$2:$J$500,$B$2:$B$500,$B406,$A$2:$A$500,$A406-1),IF($D406="Papildomi (R+)",IFERROR(MAX(0,($F406-900)/1000),0),0))))</f>
        <v>0</v>
      </c>
    </row>
    <row r="407" spans="10:10" ht="15" customHeight="1" x14ac:dyDescent="0.3">
      <c r="J407" s="23">
        <f>IF($D407="LSF čempionatas",IFERROR($E407/SUMIFS(Parametrai!$B$2:$B$21,Parametrai!$A$2:$A$21,$A407)*SUMIFS(Parametrai!$E$2:$E$21,Parametrai!$A$2:$A$21,$A407),0),IF($D407="Kitos varžybos, deklaruotos reitingui",IFERROR($F407/MAX($G407,SUMIFS(Parametrai!$F$2:$F$21,Parametrai!$A$2:$A$21,$A407))*IF($H407="",1,$H407),0),IF($D407="Susikertančios su Lietuvos čempionatu",0.95*SUMIFS($J$2:$J$500,$B$2:$B$500,$B407,$A$2:$A$500,$A407-1),IF($D407="Papildomi (R+)",IFERROR(MAX(0,($F407-900)/1000),0),0))))</f>
        <v>0</v>
      </c>
    </row>
    <row r="408" spans="10:10" ht="15" customHeight="1" x14ac:dyDescent="0.3">
      <c r="J408" s="23">
        <f>IF($D408="LSF čempionatas",IFERROR($E408/SUMIFS(Parametrai!$B$2:$B$21,Parametrai!$A$2:$A$21,$A408)*SUMIFS(Parametrai!$E$2:$E$21,Parametrai!$A$2:$A$21,$A408),0),IF($D408="Kitos varžybos, deklaruotos reitingui",IFERROR($F408/MAX($G408,SUMIFS(Parametrai!$F$2:$F$21,Parametrai!$A$2:$A$21,$A408))*IF($H408="",1,$H408),0),IF($D408="Susikertančios su Lietuvos čempionatu",0.95*SUMIFS($J$2:$J$500,$B$2:$B$500,$B408,$A$2:$A$500,$A408-1),IF($D408="Papildomi (R+)",IFERROR(MAX(0,($F408-900)/1000),0),0))))</f>
        <v>0</v>
      </c>
    </row>
    <row r="409" spans="10:10" ht="15" customHeight="1" x14ac:dyDescent="0.3">
      <c r="J409" s="23">
        <f>IF($D409="LSF čempionatas",IFERROR($E409/SUMIFS(Parametrai!$B$2:$B$21,Parametrai!$A$2:$A$21,$A409)*SUMIFS(Parametrai!$E$2:$E$21,Parametrai!$A$2:$A$21,$A409),0),IF($D409="Kitos varžybos, deklaruotos reitingui",IFERROR($F409/MAX($G409,SUMIFS(Parametrai!$F$2:$F$21,Parametrai!$A$2:$A$21,$A409))*IF($H409="",1,$H409),0),IF($D409="Susikertančios su Lietuvos čempionatu",0.95*SUMIFS($J$2:$J$500,$B$2:$B$500,$B409,$A$2:$A$500,$A409-1),IF($D409="Papildomi (R+)",IFERROR(MAX(0,($F409-900)/1000),0),0))))</f>
        <v>0</v>
      </c>
    </row>
    <row r="410" spans="10:10" ht="15" customHeight="1" x14ac:dyDescent="0.3">
      <c r="J410" s="23">
        <f>IF($D410="LSF čempionatas",IFERROR($E410/SUMIFS(Parametrai!$B$2:$B$21,Parametrai!$A$2:$A$21,$A410)*SUMIFS(Parametrai!$E$2:$E$21,Parametrai!$A$2:$A$21,$A410),0),IF($D410="Kitos varžybos, deklaruotos reitingui",IFERROR($F410/MAX($G410,SUMIFS(Parametrai!$F$2:$F$21,Parametrai!$A$2:$A$21,$A410))*IF($H410="",1,$H410),0),IF($D410="Susikertančios su Lietuvos čempionatu",0.95*SUMIFS($J$2:$J$500,$B$2:$B$500,$B410,$A$2:$A$500,$A410-1),IF($D410="Papildomi (R+)",IFERROR(MAX(0,($F410-900)/1000),0),0))))</f>
        <v>0</v>
      </c>
    </row>
    <row r="411" spans="10:10" ht="15" customHeight="1" x14ac:dyDescent="0.3">
      <c r="J411" s="23">
        <f>IF($D411="LSF čempionatas",IFERROR($E411/SUMIFS(Parametrai!$B$2:$B$21,Parametrai!$A$2:$A$21,$A411)*SUMIFS(Parametrai!$E$2:$E$21,Parametrai!$A$2:$A$21,$A411),0),IF($D411="Kitos varžybos, deklaruotos reitingui",IFERROR($F411/MAX($G411,SUMIFS(Parametrai!$F$2:$F$21,Parametrai!$A$2:$A$21,$A411))*IF($H411="",1,$H411),0),IF($D411="Susikertančios su Lietuvos čempionatu",0.95*SUMIFS($J$2:$J$500,$B$2:$B$500,$B411,$A$2:$A$500,$A411-1),IF($D411="Papildomi (R+)",IFERROR(MAX(0,($F411-900)/1000),0),0))))</f>
        <v>0</v>
      </c>
    </row>
    <row r="412" spans="10:10" ht="15" customHeight="1" x14ac:dyDescent="0.3">
      <c r="J412" s="23">
        <f>IF($D412="LSF čempionatas",IFERROR($E412/SUMIFS(Parametrai!$B$2:$B$21,Parametrai!$A$2:$A$21,$A412)*SUMIFS(Parametrai!$E$2:$E$21,Parametrai!$A$2:$A$21,$A412),0),IF($D412="Kitos varžybos, deklaruotos reitingui",IFERROR($F412/MAX($G412,SUMIFS(Parametrai!$F$2:$F$21,Parametrai!$A$2:$A$21,$A412))*IF($H412="",1,$H412),0),IF($D412="Susikertančios su Lietuvos čempionatu",0.95*SUMIFS($J$2:$J$500,$B$2:$B$500,$B412,$A$2:$A$500,$A412-1),IF($D412="Papildomi (R+)",IFERROR(MAX(0,($F412-900)/1000),0),0))))</f>
        <v>0</v>
      </c>
    </row>
    <row r="413" spans="10:10" ht="15" customHeight="1" x14ac:dyDescent="0.3">
      <c r="J413" s="23">
        <f>IF($D413="LSF čempionatas",IFERROR($E413/SUMIFS(Parametrai!$B$2:$B$21,Parametrai!$A$2:$A$21,$A413)*SUMIFS(Parametrai!$E$2:$E$21,Parametrai!$A$2:$A$21,$A413),0),IF($D413="Kitos varžybos, deklaruotos reitingui",IFERROR($F413/MAX($G413,SUMIFS(Parametrai!$F$2:$F$21,Parametrai!$A$2:$A$21,$A413))*IF($H413="",1,$H413),0),IF($D413="Susikertančios su Lietuvos čempionatu",0.95*SUMIFS($J$2:$J$500,$B$2:$B$500,$B413,$A$2:$A$500,$A413-1),IF($D413="Papildomi (R+)",IFERROR(MAX(0,($F413-900)/1000),0),0))))</f>
        <v>0</v>
      </c>
    </row>
    <row r="414" spans="10:10" ht="15" customHeight="1" x14ac:dyDescent="0.3">
      <c r="J414" s="23">
        <f>IF($D414="LSF čempionatas",IFERROR($E414/SUMIFS(Parametrai!$B$2:$B$21,Parametrai!$A$2:$A$21,$A414)*SUMIFS(Parametrai!$E$2:$E$21,Parametrai!$A$2:$A$21,$A414),0),IF($D414="Kitos varžybos, deklaruotos reitingui",IFERROR($F414/MAX($G414,SUMIFS(Parametrai!$F$2:$F$21,Parametrai!$A$2:$A$21,$A414))*IF($H414="",1,$H414),0),IF($D414="Susikertančios su Lietuvos čempionatu",0.95*SUMIFS($J$2:$J$500,$B$2:$B$500,$B414,$A$2:$A$500,$A414-1),IF($D414="Papildomi (R+)",IFERROR(MAX(0,($F414-900)/1000),0),0))))</f>
        <v>0</v>
      </c>
    </row>
    <row r="415" spans="10:10" ht="15" customHeight="1" x14ac:dyDescent="0.3">
      <c r="J415" s="23">
        <f>IF($D415="LSF čempionatas",IFERROR($E415/SUMIFS(Parametrai!$B$2:$B$21,Parametrai!$A$2:$A$21,$A415)*SUMIFS(Parametrai!$E$2:$E$21,Parametrai!$A$2:$A$21,$A415),0),IF($D415="Kitos varžybos, deklaruotos reitingui",IFERROR($F415/MAX($G415,SUMIFS(Parametrai!$F$2:$F$21,Parametrai!$A$2:$A$21,$A415))*IF($H415="",1,$H415),0),IF($D415="Susikertančios su Lietuvos čempionatu",0.95*SUMIFS($J$2:$J$500,$B$2:$B$500,$B415,$A$2:$A$500,$A415-1),IF($D415="Papildomi (R+)",IFERROR(MAX(0,($F415-900)/1000),0),0))))</f>
        <v>0</v>
      </c>
    </row>
    <row r="416" spans="10:10" ht="15" customHeight="1" x14ac:dyDescent="0.3">
      <c r="J416" s="23">
        <f>IF($D416="LSF čempionatas",IFERROR($E416/SUMIFS(Parametrai!$B$2:$B$21,Parametrai!$A$2:$A$21,$A416)*SUMIFS(Parametrai!$E$2:$E$21,Parametrai!$A$2:$A$21,$A416),0),IF($D416="Kitos varžybos, deklaruotos reitingui",IFERROR($F416/MAX($G416,SUMIFS(Parametrai!$F$2:$F$21,Parametrai!$A$2:$A$21,$A416))*IF($H416="",1,$H416),0),IF($D416="Susikertančios su Lietuvos čempionatu",0.95*SUMIFS($J$2:$J$500,$B$2:$B$500,$B416,$A$2:$A$500,$A416-1),IF($D416="Papildomi (R+)",IFERROR(MAX(0,($F416-900)/1000),0),0))))</f>
        <v>0</v>
      </c>
    </row>
    <row r="417" spans="10:10" ht="15" customHeight="1" x14ac:dyDescent="0.3">
      <c r="J417" s="23">
        <f>IF($D417="LSF čempionatas",IFERROR($E417/SUMIFS(Parametrai!$B$2:$B$21,Parametrai!$A$2:$A$21,$A417)*SUMIFS(Parametrai!$E$2:$E$21,Parametrai!$A$2:$A$21,$A417),0),IF($D417="Kitos varžybos, deklaruotos reitingui",IFERROR($F417/MAX($G417,SUMIFS(Parametrai!$F$2:$F$21,Parametrai!$A$2:$A$21,$A417))*IF($H417="",1,$H417),0),IF($D417="Susikertančios su Lietuvos čempionatu",0.95*SUMIFS($J$2:$J$500,$B$2:$B$500,$B417,$A$2:$A$500,$A417-1),IF($D417="Papildomi (R+)",IFERROR(MAX(0,($F417-900)/1000),0),0))))</f>
        <v>0</v>
      </c>
    </row>
    <row r="418" spans="10:10" ht="15" customHeight="1" x14ac:dyDescent="0.3">
      <c r="J418" s="23">
        <f>IF($D418="LSF čempionatas",IFERROR($E418/SUMIFS(Parametrai!$B$2:$B$21,Parametrai!$A$2:$A$21,$A418)*SUMIFS(Parametrai!$E$2:$E$21,Parametrai!$A$2:$A$21,$A418),0),IF($D418="Kitos varžybos, deklaruotos reitingui",IFERROR($F418/MAX($G418,SUMIFS(Parametrai!$F$2:$F$21,Parametrai!$A$2:$A$21,$A418))*IF($H418="",1,$H418),0),IF($D418="Susikertančios su Lietuvos čempionatu",0.95*SUMIFS($J$2:$J$500,$B$2:$B$500,$B418,$A$2:$A$500,$A418-1),IF($D418="Papildomi (R+)",IFERROR(MAX(0,($F418-900)/1000),0),0))))</f>
        <v>0</v>
      </c>
    </row>
    <row r="419" spans="10:10" ht="15" customHeight="1" x14ac:dyDescent="0.3">
      <c r="J419" s="23">
        <f>IF($D419="LSF čempionatas",IFERROR($E419/SUMIFS(Parametrai!$B$2:$B$21,Parametrai!$A$2:$A$21,$A419)*SUMIFS(Parametrai!$E$2:$E$21,Parametrai!$A$2:$A$21,$A419),0),IF($D419="Kitos varžybos, deklaruotos reitingui",IFERROR($F419/MAX($G419,SUMIFS(Parametrai!$F$2:$F$21,Parametrai!$A$2:$A$21,$A419))*IF($H419="",1,$H419),0),IF($D419="Susikertančios su Lietuvos čempionatu",0.95*SUMIFS($J$2:$J$500,$B$2:$B$500,$B419,$A$2:$A$500,$A419-1),IF($D419="Papildomi (R+)",IFERROR(MAX(0,($F419-900)/1000),0),0))))</f>
        <v>0</v>
      </c>
    </row>
    <row r="420" spans="10:10" ht="15" customHeight="1" x14ac:dyDescent="0.3">
      <c r="J420" s="23">
        <f>IF($D420="LSF čempionatas",IFERROR($E420/SUMIFS(Parametrai!$B$2:$B$21,Parametrai!$A$2:$A$21,$A420)*SUMIFS(Parametrai!$E$2:$E$21,Parametrai!$A$2:$A$21,$A420),0),IF($D420="Kitos varžybos, deklaruotos reitingui",IFERROR($F420/MAX($G420,SUMIFS(Parametrai!$F$2:$F$21,Parametrai!$A$2:$A$21,$A420))*IF($H420="",1,$H420),0),IF($D420="Susikertančios su Lietuvos čempionatu",0.95*SUMIFS($J$2:$J$500,$B$2:$B$500,$B420,$A$2:$A$500,$A420-1),IF($D420="Papildomi (R+)",IFERROR(MAX(0,($F420-900)/1000),0),0))))</f>
        <v>0</v>
      </c>
    </row>
    <row r="421" spans="10:10" ht="15" customHeight="1" x14ac:dyDescent="0.3">
      <c r="J421" s="23">
        <f>IF($D421="LSF čempionatas",IFERROR($E421/SUMIFS(Parametrai!$B$2:$B$21,Parametrai!$A$2:$A$21,$A421)*SUMIFS(Parametrai!$E$2:$E$21,Parametrai!$A$2:$A$21,$A421),0),IF($D421="Kitos varžybos, deklaruotos reitingui",IFERROR($F421/MAX($G421,SUMIFS(Parametrai!$F$2:$F$21,Parametrai!$A$2:$A$21,$A421))*IF($H421="",1,$H421),0),IF($D421="Susikertančios su Lietuvos čempionatu",0.95*SUMIFS($J$2:$J$500,$B$2:$B$500,$B421,$A$2:$A$500,$A421-1),IF($D421="Papildomi (R+)",IFERROR(MAX(0,($F421-900)/1000),0),0))))</f>
        <v>0</v>
      </c>
    </row>
    <row r="422" spans="10:10" ht="15" customHeight="1" x14ac:dyDescent="0.3">
      <c r="J422" s="23">
        <f>IF($D422="LSF čempionatas",IFERROR($E422/SUMIFS(Parametrai!$B$2:$B$21,Parametrai!$A$2:$A$21,$A422)*SUMIFS(Parametrai!$E$2:$E$21,Parametrai!$A$2:$A$21,$A422),0),IF($D422="Kitos varžybos, deklaruotos reitingui",IFERROR($F422/MAX($G422,SUMIFS(Parametrai!$F$2:$F$21,Parametrai!$A$2:$A$21,$A422))*IF($H422="",1,$H422),0),IF($D422="Susikertančios su Lietuvos čempionatu",0.95*SUMIFS($J$2:$J$500,$B$2:$B$500,$B422,$A$2:$A$500,$A422-1),IF($D422="Papildomi (R+)",IFERROR(MAX(0,($F422-900)/1000),0),0))))</f>
        <v>0</v>
      </c>
    </row>
    <row r="423" spans="10:10" ht="15" customHeight="1" x14ac:dyDescent="0.3">
      <c r="J423" s="23">
        <f>IF($D423="LSF čempionatas",IFERROR($E423/SUMIFS(Parametrai!$B$2:$B$21,Parametrai!$A$2:$A$21,$A423)*SUMIFS(Parametrai!$E$2:$E$21,Parametrai!$A$2:$A$21,$A423),0),IF($D423="Kitos varžybos, deklaruotos reitingui",IFERROR($F423/MAX($G423,SUMIFS(Parametrai!$F$2:$F$21,Parametrai!$A$2:$A$21,$A423))*IF($H423="",1,$H423),0),IF($D423="Susikertančios su Lietuvos čempionatu",0.95*SUMIFS($J$2:$J$500,$B$2:$B$500,$B423,$A$2:$A$500,$A423-1),IF($D423="Papildomi (R+)",IFERROR(MAX(0,($F423-900)/1000),0),0))))</f>
        <v>0</v>
      </c>
    </row>
    <row r="424" spans="10:10" ht="15" customHeight="1" x14ac:dyDescent="0.3">
      <c r="J424" s="23">
        <f>IF($D424="LSF čempionatas",IFERROR($E424/SUMIFS(Parametrai!$B$2:$B$21,Parametrai!$A$2:$A$21,$A424)*SUMIFS(Parametrai!$E$2:$E$21,Parametrai!$A$2:$A$21,$A424),0),IF($D424="Kitos varžybos, deklaruotos reitingui",IFERROR($F424/MAX($G424,SUMIFS(Parametrai!$F$2:$F$21,Parametrai!$A$2:$A$21,$A424))*IF($H424="",1,$H424),0),IF($D424="Susikertančios su Lietuvos čempionatu",0.95*SUMIFS($J$2:$J$500,$B$2:$B$500,$B424,$A$2:$A$500,$A424-1),IF($D424="Papildomi (R+)",IFERROR(MAX(0,($F424-900)/1000),0),0))))</f>
        <v>0</v>
      </c>
    </row>
    <row r="425" spans="10:10" ht="15" customHeight="1" x14ac:dyDescent="0.3">
      <c r="J425" s="23">
        <f>IF($D425="LSF čempionatas",IFERROR($E425/SUMIFS(Parametrai!$B$2:$B$21,Parametrai!$A$2:$A$21,$A425)*SUMIFS(Parametrai!$E$2:$E$21,Parametrai!$A$2:$A$21,$A425),0),IF($D425="Kitos varžybos, deklaruotos reitingui",IFERROR($F425/MAX($G425,SUMIFS(Parametrai!$F$2:$F$21,Parametrai!$A$2:$A$21,$A425))*IF($H425="",1,$H425),0),IF($D425="Susikertančios su Lietuvos čempionatu",0.95*SUMIFS($J$2:$J$500,$B$2:$B$500,$B425,$A$2:$A$500,$A425-1),IF($D425="Papildomi (R+)",IFERROR(MAX(0,($F425-900)/1000),0),0))))</f>
        <v>0</v>
      </c>
    </row>
    <row r="426" spans="10:10" ht="15" customHeight="1" x14ac:dyDescent="0.3">
      <c r="J426" s="23">
        <f>IF($D426="LSF čempionatas",IFERROR($E426/SUMIFS(Parametrai!$B$2:$B$21,Parametrai!$A$2:$A$21,$A426)*SUMIFS(Parametrai!$E$2:$E$21,Parametrai!$A$2:$A$21,$A426),0),IF($D426="Kitos varžybos, deklaruotos reitingui",IFERROR($F426/MAX($G426,SUMIFS(Parametrai!$F$2:$F$21,Parametrai!$A$2:$A$21,$A426))*IF($H426="",1,$H426),0),IF($D426="Susikertančios su Lietuvos čempionatu",0.95*SUMIFS($J$2:$J$500,$B$2:$B$500,$B426,$A$2:$A$500,$A426-1),IF($D426="Papildomi (R+)",IFERROR(MAX(0,($F426-900)/1000),0),0))))</f>
        <v>0</v>
      </c>
    </row>
    <row r="427" spans="10:10" ht="15" customHeight="1" x14ac:dyDescent="0.3">
      <c r="J427" s="23">
        <f>IF($D427="LSF čempionatas",IFERROR($E427/SUMIFS(Parametrai!$B$2:$B$21,Parametrai!$A$2:$A$21,$A427)*SUMIFS(Parametrai!$E$2:$E$21,Parametrai!$A$2:$A$21,$A427),0),IF($D427="Kitos varžybos, deklaruotos reitingui",IFERROR($F427/MAX($G427,SUMIFS(Parametrai!$F$2:$F$21,Parametrai!$A$2:$A$21,$A427))*IF($H427="",1,$H427),0),IF($D427="Susikertančios su Lietuvos čempionatu",0.95*SUMIFS($J$2:$J$500,$B$2:$B$500,$B427,$A$2:$A$500,$A427-1),IF($D427="Papildomi (R+)",IFERROR(MAX(0,($F427-900)/1000),0),0))))</f>
        <v>0</v>
      </c>
    </row>
    <row r="428" spans="10:10" ht="15" customHeight="1" x14ac:dyDescent="0.3">
      <c r="J428" s="23">
        <f>IF($D428="LSF čempionatas",IFERROR($E428/SUMIFS(Parametrai!$B$2:$B$21,Parametrai!$A$2:$A$21,$A428)*SUMIFS(Parametrai!$E$2:$E$21,Parametrai!$A$2:$A$21,$A428),0),IF($D428="Kitos varžybos, deklaruotos reitingui",IFERROR($F428/MAX($G428,SUMIFS(Parametrai!$F$2:$F$21,Parametrai!$A$2:$A$21,$A428))*IF($H428="",1,$H428),0),IF($D428="Susikertančios su Lietuvos čempionatu",0.95*SUMIFS($J$2:$J$500,$B$2:$B$500,$B428,$A$2:$A$500,$A428-1),IF($D428="Papildomi (R+)",IFERROR(MAX(0,($F428-900)/1000),0),0))))</f>
        <v>0</v>
      </c>
    </row>
    <row r="429" spans="10:10" ht="15" customHeight="1" x14ac:dyDescent="0.3">
      <c r="J429" s="23">
        <f>IF($D429="LSF čempionatas",IFERROR($E429/SUMIFS(Parametrai!$B$2:$B$21,Parametrai!$A$2:$A$21,$A429)*SUMIFS(Parametrai!$E$2:$E$21,Parametrai!$A$2:$A$21,$A429),0),IF($D429="Kitos varžybos, deklaruotos reitingui",IFERROR($F429/MAX($G429,SUMIFS(Parametrai!$F$2:$F$21,Parametrai!$A$2:$A$21,$A429))*IF($H429="",1,$H429),0),IF($D429="Susikertančios su Lietuvos čempionatu",0.95*SUMIFS($J$2:$J$500,$B$2:$B$500,$B429,$A$2:$A$500,$A429-1),IF($D429="Papildomi (R+)",IFERROR(MAX(0,($F429-900)/1000),0),0))))</f>
        <v>0</v>
      </c>
    </row>
    <row r="430" spans="10:10" ht="15" customHeight="1" x14ac:dyDescent="0.3">
      <c r="J430" s="23">
        <f>IF($D430="LSF čempionatas",IFERROR($E430/SUMIFS(Parametrai!$B$2:$B$21,Parametrai!$A$2:$A$21,$A430)*SUMIFS(Parametrai!$E$2:$E$21,Parametrai!$A$2:$A$21,$A430),0),IF($D430="Kitos varžybos, deklaruotos reitingui",IFERROR($F430/MAX($G430,SUMIFS(Parametrai!$F$2:$F$21,Parametrai!$A$2:$A$21,$A430))*IF($H430="",1,$H430),0),IF($D430="Susikertančios su Lietuvos čempionatu",0.95*SUMIFS($J$2:$J$500,$B$2:$B$500,$B430,$A$2:$A$500,$A430-1),IF($D430="Papildomi (R+)",IFERROR(MAX(0,($F430-900)/1000),0),0))))</f>
        <v>0</v>
      </c>
    </row>
    <row r="431" spans="10:10" ht="15" customHeight="1" x14ac:dyDescent="0.3">
      <c r="J431" s="23">
        <f>IF($D431="LSF čempionatas",IFERROR($E431/SUMIFS(Parametrai!$B$2:$B$21,Parametrai!$A$2:$A$21,$A431)*SUMIFS(Parametrai!$E$2:$E$21,Parametrai!$A$2:$A$21,$A431),0),IF($D431="Kitos varžybos, deklaruotos reitingui",IFERROR($F431/MAX($G431,SUMIFS(Parametrai!$F$2:$F$21,Parametrai!$A$2:$A$21,$A431))*IF($H431="",1,$H431),0),IF($D431="Susikertančios su Lietuvos čempionatu",0.95*SUMIFS($J$2:$J$500,$B$2:$B$500,$B431,$A$2:$A$500,$A431-1),IF($D431="Papildomi (R+)",IFERROR(MAX(0,($F431-900)/1000),0),0))))</f>
        <v>0</v>
      </c>
    </row>
    <row r="432" spans="10:10" ht="15" customHeight="1" x14ac:dyDescent="0.3">
      <c r="J432" s="23">
        <f>IF($D432="LSF čempionatas",IFERROR($E432/SUMIFS(Parametrai!$B$2:$B$21,Parametrai!$A$2:$A$21,$A432)*SUMIFS(Parametrai!$E$2:$E$21,Parametrai!$A$2:$A$21,$A432),0),IF($D432="Kitos varžybos, deklaruotos reitingui",IFERROR($F432/MAX($G432,SUMIFS(Parametrai!$F$2:$F$21,Parametrai!$A$2:$A$21,$A432))*IF($H432="",1,$H432),0),IF($D432="Susikertančios su Lietuvos čempionatu",0.95*SUMIFS($J$2:$J$500,$B$2:$B$500,$B432,$A$2:$A$500,$A432-1),IF($D432="Papildomi (R+)",IFERROR(MAX(0,($F432-900)/1000),0),0))))</f>
        <v>0</v>
      </c>
    </row>
    <row r="433" spans="10:10" ht="15" customHeight="1" x14ac:dyDescent="0.3">
      <c r="J433" s="23">
        <f>IF($D433="LSF čempionatas",IFERROR($E433/SUMIFS(Parametrai!$B$2:$B$21,Parametrai!$A$2:$A$21,$A433)*SUMIFS(Parametrai!$E$2:$E$21,Parametrai!$A$2:$A$21,$A433),0),IF($D433="Kitos varžybos, deklaruotos reitingui",IFERROR($F433/MAX($G433,SUMIFS(Parametrai!$F$2:$F$21,Parametrai!$A$2:$A$21,$A433))*IF($H433="",1,$H433),0),IF($D433="Susikertančios su Lietuvos čempionatu",0.95*SUMIFS($J$2:$J$500,$B$2:$B$500,$B433,$A$2:$A$500,$A433-1),IF($D433="Papildomi (R+)",IFERROR(MAX(0,($F433-900)/1000),0),0))))</f>
        <v>0</v>
      </c>
    </row>
    <row r="434" spans="10:10" ht="15" customHeight="1" x14ac:dyDescent="0.3">
      <c r="J434" s="23">
        <f>IF($D434="LSF čempionatas",IFERROR($E434/SUMIFS(Parametrai!$B$2:$B$21,Parametrai!$A$2:$A$21,$A434)*SUMIFS(Parametrai!$E$2:$E$21,Parametrai!$A$2:$A$21,$A434),0),IF($D434="Kitos varžybos, deklaruotos reitingui",IFERROR($F434/MAX($G434,SUMIFS(Parametrai!$F$2:$F$21,Parametrai!$A$2:$A$21,$A434))*IF($H434="",1,$H434),0),IF($D434="Susikertančios su Lietuvos čempionatu",0.95*SUMIFS($J$2:$J$500,$B$2:$B$500,$B434,$A$2:$A$500,$A434-1),IF($D434="Papildomi (R+)",IFERROR(MAX(0,($F434-900)/1000),0),0))))</f>
        <v>0</v>
      </c>
    </row>
    <row r="435" spans="10:10" ht="15" customHeight="1" x14ac:dyDescent="0.3">
      <c r="J435" s="23">
        <f>IF($D435="LSF čempionatas",IFERROR($E435/SUMIFS(Parametrai!$B$2:$B$21,Parametrai!$A$2:$A$21,$A435)*SUMIFS(Parametrai!$E$2:$E$21,Parametrai!$A$2:$A$21,$A435),0),IF($D435="Kitos varžybos, deklaruotos reitingui",IFERROR($F435/MAX($G435,SUMIFS(Parametrai!$F$2:$F$21,Parametrai!$A$2:$A$21,$A435))*IF($H435="",1,$H435),0),IF($D435="Susikertančios su Lietuvos čempionatu",0.95*SUMIFS($J$2:$J$500,$B$2:$B$500,$B435,$A$2:$A$500,$A435-1),IF($D435="Papildomi (R+)",IFERROR(MAX(0,($F435-900)/1000),0),0))))</f>
        <v>0</v>
      </c>
    </row>
    <row r="436" spans="10:10" ht="15" customHeight="1" x14ac:dyDescent="0.3">
      <c r="J436" s="23">
        <f>IF($D436="LSF čempionatas",IFERROR($E436/SUMIFS(Parametrai!$B$2:$B$21,Parametrai!$A$2:$A$21,$A436)*SUMIFS(Parametrai!$E$2:$E$21,Parametrai!$A$2:$A$21,$A436),0),IF($D436="Kitos varžybos, deklaruotos reitingui",IFERROR($F436/MAX($G436,SUMIFS(Parametrai!$F$2:$F$21,Parametrai!$A$2:$A$21,$A436))*IF($H436="",1,$H436),0),IF($D436="Susikertančios su Lietuvos čempionatu",0.95*SUMIFS($J$2:$J$500,$B$2:$B$500,$B436,$A$2:$A$500,$A436-1),IF($D436="Papildomi (R+)",IFERROR(MAX(0,($F436-900)/1000),0),0))))</f>
        <v>0</v>
      </c>
    </row>
    <row r="437" spans="10:10" ht="15" customHeight="1" x14ac:dyDescent="0.3">
      <c r="J437" s="23">
        <f>IF($D437="LSF čempionatas",IFERROR($E437/SUMIFS(Parametrai!$B$2:$B$21,Parametrai!$A$2:$A$21,$A437)*SUMIFS(Parametrai!$E$2:$E$21,Parametrai!$A$2:$A$21,$A437),0),IF($D437="Kitos varžybos, deklaruotos reitingui",IFERROR($F437/MAX($G437,SUMIFS(Parametrai!$F$2:$F$21,Parametrai!$A$2:$A$21,$A437))*IF($H437="",1,$H437),0),IF($D437="Susikertančios su Lietuvos čempionatu",0.95*SUMIFS($J$2:$J$500,$B$2:$B$500,$B437,$A$2:$A$500,$A437-1),IF($D437="Papildomi (R+)",IFERROR(MAX(0,($F437-900)/1000),0),0))))</f>
        <v>0</v>
      </c>
    </row>
    <row r="438" spans="10:10" ht="15" customHeight="1" x14ac:dyDescent="0.3">
      <c r="J438" s="23">
        <f>IF($D438="LSF čempionatas",IFERROR($E438/SUMIFS(Parametrai!$B$2:$B$21,Parametrai!$A$2:$A$21,$A438)*SUMIFS(Parametrai!$E$2:$E$21,Parametrai!$A$2:$A$21,$A438),0),IF($D438="Kitos varžybos, deklaruotos reitingui",IFERROR($F438/MAX($G438,SUMIFS(Parametrai!$F$2:$F$21,Parametrai!$A$2:$A$21,$A438))*IF($H438="",1,$H438),0),IF($D438="Susikertančios su Lietuvos čempionatu",0.95*SUMIFS($J$2:$J$500,$B$2:$B$500,$B438,$A$2:$A$500,$A438-1),IF($D438="Papildomi (R+)",IFERROR(MAX(0,($F438-900)/1000),0),0))))</f>
        <v>0</v>
      </c>
    </row>
    <row r="439" spans="10:10" ht="15" customHeight="1" x14ac:dyDescent="0.3">
      <c r="J439" s="23">
        <f>IF($D439="LSF čempionatas",IFERROR($E439/SUMIFS(Parametrai!$B$2:$B$21,Parametrai!$A$2:$A$21,$A439)*SUMIFS(Parametrai!$E$2:$E$21,Parametrai!$A$2:$A$21,$A439),0),IF($D439="Kitos varžybos, deklaruotos reitingui",IFERROR($F439/MAX($G439,SUMIFS(Parametrai!$F$2:$F$21,Parametrai!$A$2:$A$21,$A439))*IF($H439="",1,$H439),0),IF($D439="Susikertančios su Lietuvos čempionatu",0.95*SUMIFS($J$2:$J$500,$B$2:$B$500,$B439,$A$2:$A$500,$A439-1),IF($D439="Papildomi (R+)",IFERROR(MAX(0,($F439-900)/1000),0),0))))</f>
        <v>0</v>
      </c>
    </row>
    <row r="440" spans="10:10" ht="15" customHeight="1" x14ac:dyDescent="0.3">
      <c r="J440" s="23">
        <f>IF($D440="LSF čempionatas",IFERROR($E440/SUMIFS(Parametrai!$B$2:$B$21,Parametrai!$A$2:$A$21,$A440)*SUMIFS(Parametrai!$E$2:$E$21,Parametrai!$A$2:$A$21,$A440),0),IF($D440="Kitos varžybos, deklaruotos reitingui",IFERROR($F440/MAX($G440,SUMIFS(Parametrai!$F$2:$F$21,Parametrai!$A$2:$A$21,$A440))*IF($H440="",1,$H440),0),IF($D440="Susikertančios su Lietuvos čempionatu",0.95*SUMIFS($J$2:$J$500,$B$2:$B$500,$B440,$A$2:$A$500,$A440-1),IF($D440="Papildomi (R+)",IFERROR(MAX(0,($F440-900)/1000),0),0))))</f>
        <v>0</v>
      </c>
    </row>
    <row r="441" spans="10:10" ht="15" customHeight="1" x14ac:dyDescent="0.3">
      <c r="J441" s="23">
        <f>IF($D441="LSF čempionatas",IFERROR($E441/SUMIFS(Parametrai!$B$2:$B$21,Parametrai!$A$2:$A$21,$A441)*SUMIFS(Parametrai!$E$2:$E$21,Parametrai!$A$2:$A$21,$A441),0),IF($D441="Kitos varžybos, deklaruotos reitingui",IFERROR($F441/MAX($G441,SUMIFS(Parametrai!$F$2:$F$21,Parametrai!$A$2:$A$21,$A441))*IF($H441="",1,$H441),0),IF($D441="Susikertančios su Lietuvos čempionatu",0.95*SUMIFS($J$2:$J$500,$B$2:$B$500,$B441,$A$2:$A$500,$A441-1),IF($D441="Papildomi (R+)",IFERROR(MAX(0,($F441-900)/1000),0),0))))</f>
        <v>0</v>
      </c>
    </row>
    <row r="442" spans="10:10" ht="15" customHeight="1" x14ac:dyDescent="0.3">
      <c r="J442" s="23">
        <f>IF($D442="LSF čempionatas",IFERROR($E442/SUMIFS(Parametrai!$B$2:$B$21,Parametrai!$A$2:$A$21,$A442)*SUMIFS(Parametrai!$E$2:$E$21,Parametrai!$A$2:$A$21,$A442),0),IF($D442="Kitos varžybos, deklaruotos reitingui",IFERROR($F442/MAX($G442,SUMIFS(Parametrai!$F$2:$F$21,Parametrai!$A$2:$A$21,$A442))*IF($H442="",1,$H442),0),IF($D442="Susikertančios su Lietuvos čempionatu",0.95*SUMIFS($J$2:$J$500,$B$2:$B$500,$B442,$A$2:$A$500,$A442-1),IF($D442="Papildomi (R+)",IFERROR(MAX(0,($F442-900)/1000),0),0))))</f>
        <v>0</v>
      </c>
    </row>
    <row r="443" spans="10:10" ht="15" customHeight="1" x14ac:dyDescent="0.3">
      <c r="J443" s="23">
        <f>IF($D443="LSF čempionatas",IFERROR($E443/SUMIFS(Parametrai!$B$2:$B$21,Parametrai!$A$2:$A$21,$A443)*SUMIFS(Parametrai!$E$2:$E$21,Parametrai!$A$2:$A$21,$A443),0),IF($D443="Kitos varžybos, deklaruotos reitingui",IFERROR($F443/MAX($G443,SUMIFS(Parametrai!$F$2:$F$21,Parametrai!$A$2:$A$21,$A443))*IF($H443="",1,$H443),0),IF($D443="Susikertančios su Lietuvos čempionatu",0.95*SUMIFS($J$2:$J$500,$B$2:$B$500,$B443,$A$2:$A$500,$A443-1),IF($D443="Papildomi (R+)",IFERROR(MAX(0,($F443-900)/1000),0),0))))</f>
        <v>0</v>
      </c>
    </row>
    <row r="444" spans="10:10" ht="15" customHeight="1" x14ac:dyDescent="0.3">
      <c r="J444" s="23">
        <f>IF($D444="LSF čempionatas",IFERROR($E444/SUMIFS(Parametrai!$B$2:$B$21,Parametrai!$A$2:$A$21,$A444)*SUMIFS(Parametrai!$E$2:$E$21,Parametrai!$A$2:$A$21,$A444),0),IF($D444="Kitos varžybos, deklaruotos reitingui",IFERROR($F444/MAX($G444,SUMIFS(Parametrai!$F$2:$F$21,Parametrai!$A$2:$A$21,$A444))*IF($H444="",1,$H444),0),IF($D444="Susikertančios su Lietuvos čempionatu",0.95*SUMIFS($J$2:$J$500,$B$2:$B$500,$B444,$A$2:$A$500,$A444-1),IF($D444="Papildomi (R+)",IFERROR(MAX(0,($F444-900)/1000),0),0))))</f>
        <v>0</v>
      </c>
    </row>
    <row r="445" spans="10:10" ht="15" customHeight="1" x14ac:dyDescent="0.3">
      <c r="J445" s="23">
        <f>IF($D445="LSF čempionatas",IFERROR($E445/SUMIFS(Parametrai!$B$2:$B$21,Parametrai!$A$2:$A$21,$A445)*SUMIFS(Parametrai!$E$2:$E$21,Parametrai!$A$2:$A$21,$A445),0),IF($D445="Kitos varžybos, deklaruotos reitingui",IFERROR($F445/MAX($G445,SUMIFS(Parametrai!$F$2:$F$21,Parametrai!$A$2:$A$21,$A445))*IF($H445="",1,$H445),0),IF($D445="Susikertančios su Lietuvos čempionatu",0.95*SUMIFS($J$2:$J$500,$B$2:$B$500,$B445,$A$2:$A$500,$A445-1),IF($D445="Papildomi (R+)",IFERROR(MAX(0,($F445-900)/1000),0),0))))</f>
        <v>0</v>
      </c>
    </row>
    <row r="446" spans="10:10" ht="15" customHeight="1" x14ac:dyDescent="0.3">
      <c r="J446" s="23">
        <f>IF($D446="LSF čempionatas",IFERROR($E446/SUMIFS(Parametrai!$B$2:$B$21,Parametrai!$A$2:$A$21,$A446)*SUMIFS(Parametrai!$E$2:$E$21,Parametrai!$A$2:$A$21,$A446),0),IF($D446="Kitos varžybos, deklaruotos reitingui",IFERROR($F446/MAX($G446,SUMIFS(Parametrai!$F$2:$F$21,Parametrai!$A$2:$A$21,$A446))*IF($H446="",1,$H446),0),IF($D446="Susikertančios su Lietuvos čempionatu",0.95*SUMIFS($J$2:$J$500,$B$2:$B$500,$B446,$A$2:$A$500,$A446-1),IF($D446="Papildomi (R+)",IFERROR(MAX(0,($F446-900)/1000),0),0))))</f>
        <v>0</v>
      </c>
    </row>
    <row r="447" spans="10:10" ht="15" customHeight="1" x14ac:dyDescent="0.3">
      <c r="J447" s="23">
        <f>IF($D447="LSF čempionatas",IFERROR($E447/SUMIFS(Parametrai!$B$2:$B$21,Parametrai!$A$2:$A$21,$A447)*SUMIFS(Parametrai!$E$2:$E$21,Parametrai!$A$2:$A$21,$A447),0),IF($D447="Kitos varžybos, deklaruotos reitingui",IFERROR($F447/MAX($G447,SUMIFS(Parametrai!$F$2:$F$21,Parametrai!$A$2:$A$21,$A447))*IF($H447="",1,$H447),0),IF($D447="Susikertančios su Lietuvos čempionatu",0.95*SUMIFS($J$2:$J$500,$B$2:$B$500,$B447,$A$2:$A$500,$A447-1),IF($D447="Papildomi (R+)",IFERROR(MAX(0,($F447-900)/1000),0),0))))</f>
        <v>0</v>
      </c>
    </row>
    <row r="448" spans="10:10" ht="15" customHeight="1" x14ac:dyDescent="0.3">
      <c r="J448" s="23">
        <f>IF($D448="LSF čempionatas",IFERROR($E448/SUMIFS(Parametrai!$B$2:$B$21,Parametrai!$A$2:$A$21,$A448)*SUMIFS(Parametrai!$E$2:$E$21,Parametrai!$A$2:$A$21,$A448),0),IF($D448="Kitos varžybos, deklaruotos reitingui",IFERROR($F448/MAX($G448,SUMIFS(Parametrai!$F$2:$F$21,Parametrai!$A$2:$A$21,$A448))*IF($H448="",1,$H448),0),IF($D448="Susikertančios su Lietuvos čempionatu",0.95*SUMIFS($J$2:$J$500,$B$2:$B$500,$B448,$A$2:$A$500,$A448-1),IF($D448="Papildomi (R+)",IFERROR(MAX(0,($F448-900)/1000),0),0))))</f>
        <v>0</v>
      </c>
    </row>
    <row r="449" spans="10:10" ht="15" customHeight="1" x14ac:dyDescent="0.3">
      <c r="J449" s="23">
        <f>IF($D449="LSF čempionatas",IFERROR($E449/SUMIFS(Parametrai!$B$2:$B$21,Parametrai!$A$2:$A$21,$A449)*SUMIFS(Parametrai!$E$2:$E$21,Parametrai!$A$2:$A$21,$A449),0),IF($D449="Kitos varžybos, deklaruotos reitingui",IFERROR($F449/MAX($G449,SUMIFS(Parametrai!$F$2:$F$21,Parametrai!$A$2:$A$21,$A449))*IF($H449="",1,$H449),0),IF($D449="Susikertančios su Lietuvos čempionatu",0.95*SUMIFS($J$2:$J$500,$B$2:$B$500,$B449,$A$2:$A$500,$A449-1),IF($D449="Papildomi (R+)",IFERROR(MAX(0,($F449-900)/1000),0),0))))</f>
        <v>0</v>
      </c>
    </row>
    <row r="450" spans="10:10" ht="15" customHeight="1" x14ac:dyDescent="0.3">
      <c r="J450" s="23">
        <f>IF($D450="LSF čempionatas",IFERROR($E450/SUMIFS(Parametrai!$B$2:$B$21,Parametrai!$A$2:$A$21,$A450)*SUMIFS(Parametrai!$E$2:$E$21,Parametrai!$A$2:$A$21,$A450),0),IF($D450="Kitos varžybos, deklaruotos reitingui",IFERROR($F450/MAX($G450,SUMIFS(Parametrai!$F$2:$F$21,Parametrai!$A$2:$A$21,$A450))*IF($H450="",1,$H450),0),IF($D450="Susikertančios su Lietuvos čempionatu",0.95*SUMIFS($J$2:$J$500,$B$2:$B$500,$B450,$A$2:$A$500,$A450-1),IF($D450="Papildomi (R+)",IFERROR(MAX(0,($F450-900)/1000),0),0))))</f>
        <v>0</v>
      </c>
    </row>
    <row r="451" spans="10:10" ht="15" customHeight="1" x14ac:dyDescent="0.3">
      <c r="J451" s="23">
        <f>IF($D451="LSF čempionatas",IFERROR($E451/SUMIFS(Parametrai!$B$2:$B$21,Parametrai!$A$2:$A$21,$A451)*SUMIFS(Parametrai!$E$2:$E$21,Parametrai!$A$2:$A$21,$A451),0),IF($D451="Kitos varžybos, deklaruotos reitingui",IFERROR($F451/MAX($G451,SUMIFS(Parametrai!$F$2:$F$21,Parametrai!$A$2:$A$21,$A451))*IF($H451="",1,$H451),0),IF($D451="Susikertančios su Lietuvos čempionatu",0.95*SUMIFS($J$2:$J$500,$B$2:$B$500,$B451,$A$2:$A$500,$A451-1),IF($D451="Papildomi (R+)",IFERROR(MAX(0,($F451-900)/1000),0),0))))</f>
        <v>0</v>
      </c>
    </row>
    <row r="452" spans="10:10" ht="15" customHeight="1" x14ac:dyDescent="0.3">
      <c r="J452" s="23">
        <f>IF($D452="LSF čempionatas",IFERROR($E452/SUMIFS(Parametrai!$B$2:$B$21,Parametrai!$A$2:$A$21,$A452)*SUMIFS(Parametrai!$E$2:$E$21,Parametrai!$A$2:$A$21,$A452),0),IF($D452="Kitos varžybos, deklaruotos reitingui",IFERROR($F452/MAX($G452,SUMIFS(Parametrai!$F$2:$F$21,Parametrai!$A$2:$A$21,$A452))*IF($H452="",1,$H452),0),IF($D452="Susikertančios su Lietuvos čempionatu",0.95*SUMIFS($J$2:$J$500,$B$2:$B$500,$B452,$A$2:$A$500,$A452-1),IF($D452="Papildomi (R+)",IFERROR(MAX(0,($F452-900)/1000),0),0))))</f>
        <v>0</v>
      </c>
    </row>
    <row r="453" spans="10:10" ht="15" customHeight="1" x14ac:dyDescent="0.3">
      <c r="J453" s="23">
        <f>IF($D453="LSF čempionatas",IFERROR($E453/SUMIFS(Parametrai!$B$2:$B$21,Parametrai!$A$2:$A$21,$A453)*SUMIFS(Parametrai!$E$2:$E$21,Parametrai!$A$2:$A$21,$A453),0),IF($D453="Kitos varžybos, deklaruotos reitingui",IFERROR($F453/MAX($G453,SUMIFS(Parametrai!$F$2:$F$21,Parametrai!$A$2:$A$21,$A453))*IF($H453="",1,$H453),0),IF($D453="Susikertančios su Lietuvos čempionatu",0.95*SUMIFS($J$2:$J$500,$B$2:$B$500,$B453,$A$2:$A$500,$A453-1),IF($D453="Papildomi (R+)",IFERROR(MAX(0,($F453-900)/1000),0),0))))</f>
        <v>0</v>
      </c>
    </row>
    <row r="454" spans="10:10" ht="15" customHeight="1" x14ac:dyDescent="0.3">
      <c r="J454" s="23">
        <f>IF($D454="LSF čempionatas",IFERROR($E454/SUMIFS(Parametrai!$B$2:$B$21,Parametrai!$A$2:$A$21,$A454)*SUMIFS(Parametrai!$E$2:$E$21,Parametrai!$A$2:$A$21,$A454),0),IF($D454="Kitos varžybos, deklaruotos reitingui",IFERROR($F454/MAX($G454,SUMIFS(Parametrai!$F$2:$F$21,Parametrai!$A$2:$A$21,$A454))*IF($H454="",1,$H454),0),IF($D454="Susikertančios su Lietuvos čempionatu",0.95*SUMIFS($J$2:$J$500,$B$2:$B$500,$B454,$A$2:$A$500,$A454-1),IF($D454="Papildomi (R+)",IFERROR(MAX(0,($F454-900)/1000),0),0))))</f>
        <v>0</v>
      </c>
    </row>
    <row r="455" spans="10:10" ht="15" customHeight="1" x14ac:dyDescent="0.3">
      <c r="J455" s="23">
        <f>IF($D455="LSF čempionatas",IFERROR($E455/SUMIFS(Parametrai!$B$2:$B$21,Parametrai!$A$2:$A$21,$A455)*SUMIFS(Parametrai!$E$2:$E$21,Parametrai!$A$2:$A$21,$A455),0),IF($D455="Kitos varžybos, deklaruotos reitingui",IFERROR($F455/MAX($G455,SUMIFS(Parametrai!$F$2:$F$21,Parametrai!$A$2:$A$21,$A455))*IF($H455="",1,$H455),0),IF($D455="Susikertančios su Lietuvos čempionatu",0.95*SUMIFS($J$2:$J$500,$B$2:$B$500,$B455,$A$2:$A$500,$A455-1),IF($D455="Papildomi (R+)",IFERROR(MAX(0,($F455-900)/1000),0),0))))</f>
        <v>0</v>
      </c>
    </row>
    <row r="456" spans="10:10" ht="15" customHeight="1" x14ac:dyDescent="0.3">
      <c r="J456" s="23">
        <f>IF($D456="LSF čempionatas",IFERROR($E456/SUMIFS(Parametrai!$B$2:$B$21,Parametrai!$A$2:$A$21,$A456)*SUMIFS(Parametrai!$E$2:$E$21,Parametrai!$A$2:$A$21,$A456),0),IF($D456="Kitos varžybos, deklaruotos reitingui",IFERROR($F456/MAX($G456,SUMIFS(Parametrai!$F$2:$F$21,Parametrai!$A$2:$A$21,$A456))*IF($H456="",1,$H456),0),IF($D456="Susikertančios su Lietuvos čempionatu",0.95*SUMIFS($J$2:$J$500,$B$2:$B$500,$B456,$A$2:$A$500,$A456-1),IF($D456="Papildomi (R+)",IFERROR(MAX(0,($F456-900)/1000),0),0))))</f>
        <v>0</v>
      </c>
    </row>
    <row r="457" spans="10:10" ht="15" customHeight="1" x14ac:dyDescent="0.3">
      <c r="J457" s="23">
        <f>IF($D457="LSF čempionatas",IFERROR($E457/SUMIFS(Parametrai!$B$2:$B$21,Parametrai!$A$2:$A$21,$A457)*SUMIFS(Parametrai!$E$2:$E$21,Parametrai!$A$2:$A$21,$A457),0),IF($D457="Kitos varžybos, deklaruotos reitingui",IFERROR($F457/MAX($G457,SUMIFS(Parametrai!$F$2:$F$21,Parametrai!$A$2:$A$21,$A457))*IF($H457="",1,$H457),0),IF($D457="Susikertančios su Lietuvos čempionatu",0.95*SUMIFS($J$2:$J$500,$B$2:$B$500,$B457,$A$2:$A$500,$A457-1),IF($D457="Papildomi (R+)",IFERROR(MAX(0,($F457-900)/1000),0),0))))</f>
        <v>0</v>
      </c>
    </row>
    <row r="458" spans="10:10" ht="15" customHeight="1" x14ac:dyDescent="0.3">
      <c r="J458" s="23">
        <f>IF($D458="LSF čempionatas",IFERROR($E458/SUMIFS(Parametrai!$B$2:$B$21,Parametrai!$A$2:$A$21,$A458)*SUMIFS(Parametrai!$E$2:$E$21,Parametrai!$A$2:$A$21,$A458),0),IF($D458="Kitos varžybos, deklaruotos reitingui",IFERROR($F458/MAX($G458,SUMIFS(Parametrai!$F$2:$F$21,Parametrai!$A$2:$A$21,$A458))*IF($H458="",1,$H458),0),IF($D458="Susikertančios su Lietuvos čempionatu",0.95*SUMIFS($J$2:$J$500,$B$2:$B$500,$B458,$A$2:$A$500,$A458-1),IF($D458="Papildomi (R+)",IFERROR(MAX(0,($F458-900)/1000),0),0))))</f>
        <v>0</v>
      </c>
    </row>
    <row r="459" spans="10:10" ht="15" customHeight="1" x14ac:dyDescent="0.3">
      <c r="J459" s="23">
        <f>IF($D459="LSF čempionatas",IFERROR($E459/SUMIFS(Parametrai!$B$2:$B$21,Parametrai!$A$2:$A$21,$A459)*SUMIFS(Parametrai!$E$2:$E$21,Parametrai!$A$2:$A$21,$A459),0),IF($D459="Kitos varžybos, deklaruotos reitingui",IFERROR($F459/MAX($G459,SUMIFS(Parametrai!$F$2:$F$21,Parametrai!$A$2:$A$21,$A459))*IF($H459="",1,$H459),0),IF($D459="Susikertančios su Lietuvos čempionatu",0.95*SUMIFS($J$2:$J$500,$B$2:$B$500,$B459,$A$2:$A$500,$A459-1),IF($D459="Papildomi (R+)",IFERROR(MAX(0,($F459-900)/1000),0),0))))</f>
        <v>0</v>
      </c>
    </row>
    <row r="460" spans="10:10" ht="15" customHeight="1" x14ac:dyDescent="0.3">
      <c r="J460" s="23">
        <f>IF($D460="LSF čempionatas",IFERROR($E460/SUMIFS(Parametrai!$B$2:$B$21,Parametrai!$A$2:$A$21,$A460)*SUMIFS(Parametrai!$E$2:$E$21,Parametrai!$A$2:$A$21,$A460),0),IF($D460="Kitos varžybos, deklaruotos reitingui",IFERROR($F460/MAX($G460,SUMIFS(Parametrai!$F$2:$F$21,Parametrai!$A$2:$A$21,$A460))*IF($H460="",1,$H460),0),IF($D460="Susikertančios su Lietuvos čempionatu",0.95*SUMIFS($J$2:$J$500,$B$2:$B$500,$B460,$A$2:$A$500,$A460-1),IF($D460="Papildomi (R+)",IFERROR(MAX(0,($F460-900)/1000),0),0))))</f>
        <v>0</v>
      </c>
    </row>
    <row r="461" spans="10:10" ht="15" customHeight="1" x14ac:dyDescent="0.3">
      <c r="J461" s="23">
        <f>IF($D461="LSF čempionatas",IFERROR($E461/SUMIFS(Parametrai!$B$2:$B$21,Parametrai!$A$2:$A$21,$A461)*SUMIFS(Parametrai!$E$2:$E$21,Parametrai!$A$2:$A$21,$A461),0),IF($D461="Kitos varžybos, deklaruotos reitingui",IFERROR($F461/MAX($G461,SUMIFS(Parametrai!$F$2:$F$21,Parametrai!$A$2:$A$21,$A461))*IF($H461="",1,$H461),0),IF($D461="Susikertančios su Lietuvos čempionatu",0.95*SUMIFS($J$2:$J$500,$B$2:$B$500,$B461,$A$2:$A$500,$A461-1),IF($D461="Papildomi (R+)",IFERROR(MAX(0,($F461-900)/1000),0),0))))</f>
        <v>0</v>
      </c>
    </row>
    <row r="462" spans="10:10" ht="15" customHeight="1" x14ac:dyDescent="0.3">
      <c r="J462" s="23">
        <f>IF($D462="LSF čempionatas",IFERROR($E462/SUMIFS(Parametrai!$B$2:$B$21,Parametrai!$A$2:$A$21,$A462)*SUMIFS(Parametrai!$E$2:$E$21,Parametrai!$A$2:$A$21,$A462),0),IF($D462="Kitos varžybos, deklaruotos reitingui",IFERROR($F462/MAX($G462,SUMIFS(Parametrai!$F$2:$F$21,Parametrai!$A$2:$A$21,$A462))*IF($H462="",1,$H462),0),IF($D462="Susikertančios su Lietuvos čempionatu",0.95*SUMIFS($J$2:$J$500,$B$2:$B$500,$B462,$A$2:$A$500,$A462-1),IF($D462="Papildomi (R+)",IFERROR(MAX(0,($F462-900)/1000),0),0))))</f>
        <v>0</v>
      </c>
    </row>
    <row r="463" spans="10:10" ht="15" customHeight="1" x14ac:dyDescent="0.3">
      <c r="J463" s="23">
        <f>IF($D463="LSF čempionatas",IFERROR($E463/SUMIFS(Parametrai!$B$2:$B$21,Parametrai!$A$2:$A$21,$A463)*SUMIFS(Parametrai!$E$2:$E$21,Parametrai!$A$2:$A$21,$A463),0),IF($D463="Kitos varžybos, deklaruotos reitingui",IFERROR($F463/MAX($G463,SUMIFS(Parametrai!$F$2:$F$21,Parametrai!$A$2:$A$21,$A463))*IF($H463="",1,$H463),0),IF($D463="Susikertančios su Lietuvos čempionatu",0.95*SUMIFS($J$2:$J$500,$B$2:$B$500,$B463,$A$2:$A$500,$A463-1),IF($D463="Papildomi (R+)",IFERROR(MAX(0,($F463-900)/1000),0),0))))</f>
        <v>0</v>
      </c>
    </row>
    <row r="464" spans="10:10" ht="15" customHeight="1" x14ac:dyDescent="0.3">
      <c r="J464" s="23">
        <f>IF($D464="LSF čempionatas",IFERROR($E464/SUMIFS(Parametrai!$B$2:$B$21,Parametrai!$A$2:$A$21,$A464)*SUMIFS(Parametrai!$E$2:$E$21,Parametrai!$A$2:$A$21,$A464),0),IF($D464="Kitos varžybos, deklaruotos reitingui",IFERROR($F464/MAX($G464,SUMIFS(Parametrai!$F$2:$F$21,Parametrai!$A$2:$A$21,$A464))*IF($H464="",1,$H464),0),IF($D464="Susikertančios su Lietuvos čempionatu",0.95*SUMIFS($J$2:$J$500,$B$2:$B$500,$B464,$A$2:$A$500,$A464-1),IF($D464="Papildomi (R+)",IFERROR(MAX(0,($F464-900)/1000),0),0))))</f>
        <v>0</v>
      </c>
    </row>
    <row r="465" spans="10:10" ht="15" customHeight="1" x14ac:dyDescent="0.3">
      <c r="J465" s="23">
        <f>IF($D465="LSF čempionatas",IFERROR($E465/SUMIFS(Parametrai!$B$2:$B$21,Parametrai!$A$2:$A$21,$A465)*SUMIFS(Parametrai!$E$2:$E$21,Parametrai!$A$2:$A$21,$A465),0),IF($D465="Kitos varžybos, deklaruotos reitingui",IFERROR($F465/MAX($G465,SUMIFS(Parametrai!$F$2:$F$21,Parametrai!$A$2:$A$21,$A465))*IF($H465="",1,$H465),0),IF($D465="Susikertančios su Lietuvos čempionatu",0.95*SUMIFS($J$2:$J$500,$B$2:$B$500,$B465,$A$2:$A$500,$A465-1),IF($D465="Papildomi (R+)",IFERROR(MAX(0,($F465-900)/1000),0),0))))</f>
        <v>0</v>
      </c>
    </row>
    <row r="466" spans="10:10" ht="15" customHeight="1" x14ac:dyDescent="0.3">
      <c r="J466" s="23">
        <f>IF($D466="LSF čempionatas",IFERROR($E466/SUMIFS(Parametrai!$B$2:$B$21,Parametrai!$A$2:$A$21,$A466)*SUMIFS(Parametrai!$E$2:$E$21,Parametrai!$A$2:$A$21,$A466),0),IF($D466="Kitos varžybos, deklaruotos reitingui",IFERROR($F466/MAX($G466,SUMIFS(Parametrai!$F$2:$F$21,Parametrai!$A$2:$A$21,$A466))*IF($H466="",1,$H466),0),IF($D466="Susikertančios su Lietuvos čempionatu",0.95*SUMIFS($J$2:$J$500,$B$2:$B$500,$B466,$A$2:$A$500,$A466-1),IF($D466="Papildomi (R+)",IFERROR(MAX(0,($F466-900)/1000),0),0))))</f>
        <v>0</v>
      </c>
    </row>
    <row r="467" spans="10:10" ht="15" customHeight="1" x14ac:dyDescent="0.3">
      <c r="J467" s="23">
        <f>IF($D467="LSF čempionatas",IFERROR($E467/SUMIFS(Parametrai!$B$2:$B$21,Parametrai!$A$2:$A$21,$A467)*SUMIFS(Parametrai!$E$2:$E$21,Parametrai!$A$2:$A$21,$A467),0),IF($D467="Kitos varžybos, deklaruotos reitingui",IFERROR($F467/MAX($G467,SUMIFS(Parametrai!$F$2:$F$21,Parametrai!$A$2:$A$21,$A467))*IF($H467="",1,$H467),0),IF($D467="Susikertančios su Lietuvos čempionatu",0.95*SUMIFS($J$2:$J$500,$B$2:$B$500,$B467,$A$2:$A$500,$A467-1),IF($D467="Papildomi (R+)",IFERROR(MAX(0,($F467-900)/1000),0),0))))</f>
        <v>0</v>
      </c>
    </row>
    <row r="468" spans="10:10" ht="15" customHeight="1" x14ac:dyDescent="0.3">
      <c r="J468" s="23">
        <f>IF($D468="LSF čempionatas",IFERROR($E468/SUMIFS(Parametrai!$B$2:$B$21,Parametrai!$A$2:$A$21,$A468)*SUMIFS(Parametrai!$E$2:$E$21,Parametrai!$A$2:$A$21,$A468),0),IF($D468="Kitos varžybos, deklaruotos reitingui",IFERROR($F468/MAX($G468,SUMIFS(Parametrai!$F$2:$F$21,Parametrai!$A$2:$A$21,$A468))*IF($H468="",1,$H468),0),IF($D468="Susikertančios su Lietuvos čempionatu",0.95*SUMIFS($J$2:$J$500,$B$2:$B$500,$B468,$A$2:$A$500,$A468-1),IF($D468="Papildomi (R+)",IFERROR(MAX(0,($F468-900)/1000),0),0))))</f>
        <v>0</v>
      </c>
    </row>
    <row r="469" spans="10:10" ht="15" customHeight="1" x14ac:dyDescent="0.3">
      <c r="J469" s="23">
        <f>IF($D469="LSF čempionatas",IFERROR($E469/SUMIFS(Parametrai!$B$2:$B$21,Parametrai!$A$2:$A$21,$A469)*SUMIFS(Parametrai!$E$2:$E$21,Parametrai!$A$2:$A$21,$A469),0),IF($D469="Kitos varžybos, deklaruotos reitingui",IFERROR($F469/MAX($G469,SUMIFS(Parametrai!$F$2:$F$21,Parametrai!$A$2:$A$21,$A469))*IF($H469="",1,$H469),0),IF($D469="Susikertančios su Lietuvos čempionatu",0.95*SUMIFS($J$2:$J$500,$B$2:$B$500,$B469,$A$2:$A$500,$A469-1),IF($D469="Papildomi (R+)",IFERROR(MAX(0,($F469-900)/1000),0),0))))</f>
        <v>0</v>
      </c>
    </row>
    <row r="470" spans="10:10" ht="15" customHeight="1" x14ac:dyDescent="0.3">
      <c r="J470" s="23">
        <f>IF($D470="LSF čempionatas",IFERROR($E470/SUMIFS(Parametrai!$B$2:$B$21,Parametrai!$A$2:$A$21,$A470)*SUMIFS(Parametrai!$E$2:$E$21,Parametrai!$A$2:$A$21,$A470),0),IF($D470="Kitos varžybos, deklaruotos reitingui",IFERROR($F470/MAX($G470,SUMIFS(Parametrai!$F$2:$F$21,Parametrai!$A$2:$A$21,$A470))*IF($H470="",1,$H470),0),IF($D470="Susikertančios su Lietuvos čempionatu",0.95*SUMIFS($J$2:$J$500,$B$2:$B$500,$B470,$A$2:$A$500,$A470-1),IF($D470="Papildomi (R+)",IFERROR(MAX(0,($F470-900)/1000),0),0))))</f>
        <v>0</v>
      </c>
    </row>
    <row r="471" spans="10:10" ht="15" customHeight="1" x14ac:dyDescent="0.3">
      <c r="J471" s="23">
        <f>IF($D471="LSF čempionatas",IFERROR($E471/SUMIFS(Parametrai!$B$2:$B$21,Parametrai!$A$2:$A$21,$A471)*SUMIFS(Parametrai!$E$2:$E$21,Parametrai!$A$2:$A$21,$A471),0),IF($D471="Kitos varžybos, deklaruotos reitingui",IFERROR($F471/MAX($G471,SUMIFS(Parametrai!$F$2:$F$21,Parametrai!$A$2:$A$21,$A471))*IF($H471="",1,$H471),0),IF($D471="Susikertančios su Lietuvos čempionatu",0.95*SUMIFS($J$2:$J$500,$B$2:$B$500,$B471,$A$2:$A$500,$A471-1),IF($D471="Papildomi (R+)",IFERROR(MAX(0,($F471-900)/1000),0),0))))</f>
        <v>0</v>
      </c>
    </row>
    <row r="472" spans="10:10" ht="15" customHeight="1" x14ac:dyDescent="0.3">
      <c r="J472" s="23">
        <f>IF($D472="LSF čempionatas",IFERROR($E472/SUMIFS(Parametrai!$B$2:$B$21,Parametrai!$A$2:$A$21,$A472)*SUMIFS(Parametrai!$E$2:$E$21,Parametrai!$A$2:$A$21,$A472),0),IF($D472="Kitos varžybos, deklaruotos reitingui",IFERROR($F472/MAX($G472,SUMIFS(Parametrai!$F$2:$F$21,Parametrai!$A$2:$A$21,$A472))*IF($H472="",1,$H472),0),IF($D472="Susikertančios su Lietuvos čempionatu",0.95*SUMIFS($J$2:$J$500,$B$2:$B$500,$B472,$A$2:$A$500,$A472-1),IF($D472="Papildomi (R+)",IFERROR(MAX(0,($F472-900)/1000),0),0))))</f>
        <v>0</v>
      </c>
    </row>
    <row r="473" spans="10:10" ht="15" customHeight="1" x14ac:dyDescent="0.3">
      <c r="J473" s="23">
        <f>IF($D473="LSF čempionatas",IFERROR($E473/SUMIFS(Parametrai!$B$2:$B$21,Parametrai!$A$2:$A$21,$A473)*SUMIFS(Parametrai!$E$2:$E$21,Parametrai!$A$2:$A$21,$A473),0),IF($D473="Kitos varžybos, deklaruotos reitingui",IFERROR($F473/MAX($G473,SUMIFS(Parametrai!$F$2:$F$21,Parametrai!$A$2:$A$21,$A473))*IF($H473="",1,$H473),0),IF($D473="Susikertančios su Lietuvos čempionatu",0.95*SUMIFS($J$2:$J$500,$B$2:$B$500,$B473,$A$2:$A$500,$A473-1),IF($D473="Papildomi (R+)",IFERROR(MAX(0,($F473-900)/1000),0),0))))</f>
        <v>0</v>
      </c>
    </row>
    <row r="474" spans="10:10" ht="15" customHeight="1" x14ac:dyDescent="0.3">
      <c r="J474" s="23">
        <f>IF($D474="LSF čempionatas",IFERROR($E474/SUMIFS(Parametrai!$B$2:$B$21,Parametrai!$A$2:$A$21,$A474)*SUMIFS(Parametrai!$E$2:$E$21,Parametrai!$A$2:$A$21,$A474),0),IF($D474="Kitos varžybos, deklaruotos reitingui",IFERROR($F474/MAX($G474,SUMIFS(Parametrai!$F$2:$F$21,Parametrai!$A$2:$A$21,$A474))*IF($H474="",1,$H474),0),IF($D474="Susikertančios su Lietuvos čempionatu",0.95*SUMIFS($J$2:$J$500,$B$2:$B$500,$B474,$A$2:$A$500,$A474-1),IF($D474="Papildomi (R+)",IFERROR(MAX(0,($F474-900)/1000),0),0))))</f>
        <v>0</v>
      </c>
    </row>
    <row r="475" spans="10:10" ht="15" customHeight="1" x14ac:dyDescent="0.3">
      <c r="J475" s="23">
        <f>IF($D475="LSF čempionatas",IFERROR($E475/SUMIFS(Parametrai!$B$2:$B$21,Parametrai!$A$2:$A$21,$A475)*SUMIFS(Parametrai!$E$2:$E$21,Parametrai!$A$2:$A$21,$A475),0),IF($D475="Kitos varžybos, deklaruotos reitingui",IFERROR($F475/MAX($G475,SUMIFS(Parametrai!$F$2:$F$21,Parametrai!$A$2:$A$21,$A475))*IF($H475="",1,$H475),0),IF($D475="Susikertančios su Lietuvos čempionatu",0.95*SUMIFS($J$2:$J$500,$B$2:$B$500,$B475,$A$2:$A$500,$A475-1),IF($D475="Papildomi (R+)",IFERROR(MAX(0,($F475-900)/1000),0),0))))</f>
        <v>0</v>
      </c>
    </row>
    <row r="476" spans="10:10" ht="15" customHeight="1" x14ac:dyDescent="0.3">
      <c r="J476" s="23">
        <f>IF($D476="LSF čempionatas",IFERROR($E476/SUMIFS(Parametrai!$B$2:$B$21,Parametrai!$A$2:$A$21,$A476)*SUMIFS(Parametrai!$E$2:$E$21,Parametrai!$A$2:$A$21,$A476),0),IF($D476="Kitos varžybos, deklaruotos reitingui",IFERROR($F476/MAX($G476,SUMIFS(Parametrai!$F$2:$F$21,Parametrai!$A$2:$A$21,$A476))*IF($H476="",1,$H476),0),IF($D476="Susikertančios su Lietuvos čempionatu",0.95*SUMIFS($J$2:$J$500,$B$2:$B$500,$B476,$A$2:$A$500,$A476-1),IF($D476="Papildomi (R+)",IFERROR(MAX(0,($F476-900)/1000),0),0))))</f>
        <v>0</v>
      </c>
    </row>
    <row r="477" spans="10:10" ht="15" customHeight="1" x14ac:dyDescent="0.3">
      <c r="J477" s="23">
        <f>IF($D477="LSF čempionatas",IFERROR($E477/SUMIFS(Parametrai!$B$2:$B$21,Parametrai!$A$2:$A$21,$A477)*SUMIFS(Parametrai!$E$2:$E$21,Parametrai!$A$2:$A$21,$A477),0),IF($D477="Kitos varžybos, deklaruotos reitingui",IFERROR($F477/MAX($G477,SUMIFS(Parametrai!$F$2:$F$21,Parametrai!$A$2:$A$21,$A477))*IF($H477="",1,$H477),0),IF($D477="Susikertančios su Lietuvos čempionatu",0.95*SUMIFS($J$2:$J$500,$B$2:$B$500,$B477,$A$2:$A$500,$A477-1),IF($D477="Papildomi (R+)",IFERROR(MAX(0,($F477-900)/1000),0),0))))</f>
        <v>0</v>
      </c>
    </row>
    <row r="478" spans="10:10" ht="15" customHeight="1" x14ac:dyDescent="0.3">
      <c r="J478" s="23">
        <f>IF($D478="LSF čempionatas",IFERROR($E478/SUMIFS(Parametrai!$B$2:$B$21,Parametrai!$A$2:$A$21,$A478)*SUMIFS(Parametrai!$E$2:$E$21,Parametrai!$A$2:$A$21,$A478),0),IF($D478="Kitos varžybos, deklaruotos reitingui",IFERROR($F478/MAX($G478,SUMIFS(Parametrai!$F$2:$F$21,Parametrai!$A$2:$A$21,$A478))*IF($H478="",1,$H478),0),IF($D478="Susikertančios su Lietuvos čempionatu",0.95*SUMIFS($J$2:$J$500,$B$2:$B$500,$B478,$A$2:$A$500,$A478-1),IF($D478="Papildomi (R+)",IFERROR(MAX(0,($F478-900)/1000),0),0))))</f>
        <v>0</v>
      </c>
    </row>
    <row r="479" spans="10:10" ht="15" customHeight="1" x14ac:dyDescent="0.3">
      <c r="J479" s="23">
        <f>IF($D479="LSF čempionatas",IFERROR($E479/SUMIFS(Parametrai!$B$2:$B$21,Parametrai!$A$2:$A$21,$A479)*SUMIFS(Parametrai!$E$2:$E$21,Parametrai!$A$2:$A$21,$A479),0),IF($D479="Kitos varžybos, deklaruotos reitingui",IFERROR($F479/MAX($G479,SUMIFS(Parametrai!$F$2:$F$21,Parametrai!$A$2:$A$21,$A479))*IF($H479="",1,$H479),0),IF($D479="Susikertančios su Lietuvos čempionatu",0.95*SUMIFS($J$2:$J$500,$B$2:$B$500,$B479,$A$2:$A$500,$A479-1),IF($D479="Papildomi (R+)",IFERROR(MAX(0,($F479-900)/1000),0),0))))</f>
        <v>0</v>
      </c>
    </row>
    <row r="480" spans="10:10" ht="15" customHeight="1" x14ac:dyDescent="0.3">
      <c r="J480" s="23">
        <f>IF($D480="LSF čempionatas",IFERROR($E480/SUMIFS(Parametrai!$B$2:$B$21,Parametrai!$A$2:$A$21,$A480)*SUMIFS(Parametrai!$E$2:$E$21,Parametrai!$A$2:$A$21,$A480),0),IF($D480="Kitos varžybos, deklaruotos reitingui",IFERROR($F480/MAX($G480,SUMIFS(Parametrai!$F$2:$F$21,Parametrai!$A$2:$A$21,$A480))*IF($H480="",1,$H480),0),IF($D480="Susikertančios su Lietuvos čempionatu",0.95*SUMIFS($J$2:$J$500,$B$2:$B$500,$B480,$A$2:$A$500,$A480-1),IF($D480="Papildomi (R+)",IFERROR(MAX(0,($F480-900)/1000),0),0))))</f>
        <v>0</v>
      </c>
    </row>
    <row r="481" spans="10:10" ht="15" customHeight="1" x14ac:dyDescent="0.3">
      <c r="J481" s="23">
        <f>IF($D481="LSF čempionatas",IFERROR($E481/SUMIFS(Parametrai!$B$2:$B$21,Parametrai!$A$2:$A$21,$A481)*SUMIFS(Parametrai!$E$2:$E$21,Parametrai!$A$2:$A$21,$A481),0),IF($D481="Kitos varžybos, deklaruotos reitingui",IFERROR($F481/MAX($G481,SUMIFS(Parametrai!$F$2:$F$21,Parametrai!$A$2:$A$21,$A481))*IF($H481="",1,$H481),0),IF($D481="Susikertančios su Lietuvos čempionatu",0.95*SUMIFS($J$2:$J$500,$B$2:$B$500,$B481,$A$2:$A$500,$A481-1),IF($D481="Papildomi (R+)",IFERROR(MAX(0,($F481-900)/1000),0),0))))</f>
        <v>0</v>
      </c>
    </row>
    <row r="482" spans="10:10" ht="15" customHeight="1" x14ac:dyDescent="0.3">
      <c r="J482" s="23">
        <f>IF($D482="LSF čempionatas",IFERROR($E482/SUMIFS(Parametrai!$B$2:$B$21,Parametrai!$A$2:$A$21,$A482)*SUMIFS(Parametrai!$E$2:$E$21,Parametrai!$A$2:$A$21,$A482),0),IF($D482="Kitos varžybos, deklaruotos reitingui",IFERROR($F482/MAX($G482,SUMIFS(Parametrai!$F$2:$F$21,Parametrai!$A$2:$A$21,$A482))*IF($H482="",1,$H482),0),IF($D482="Susikertančios su Lietuvos čempionatu",0.95*SUMIFS($J$2:$J$500,$B$2:$B$500,$B482,$A$2:$A$500,$A482-1),IF($D482="Papildomi (R+)",IFERROR(MAX(0,($F482-900)/1000),0),0))))</f>
        <v>0</v>
      </c>
    </row>
    <row r="483" spans="10:10" ht="15" customHeight="1" x14ac:dyDescent="0.3">
      <c r="J483" s="23">
        <f>IF($D483="LSF čempionatas",IFERROR($E483/SUMIFS(Parametrai!$B$2:$B$21,Parametrai!$A$2:$A$21,$A483)*SUMIFS(Parametrai!$E$2:$E$21,Parametrai!$A$2:$A$21,$A483),0),IF($D483="Kitos varžybos, deklaruotos reitingui",IFERROR($F483/MAX($G483,SUMIFS(Parametrai!$F$2:$F$21,Parametrai!$A$2:$A$21,$A483))*IF($H483="",1,$H483),0),IF($D483="Susikertančios su Lietuvos čempionatu",0.95*SUMIFS($J$2:$J$500,$B$2:$B$500,$B483,$A$2:$A$500,$A483-1),IF($D483="Papildomi (R+)",IFERROR(MAX(0,($F483-900)/1000),0),0))))</f>
        <v>0</v>
      </c>
    </row>
    <row r="484" spans="10:10" ht="15" customHeight="1" x14ac:dyDescent="0.3">
      <c r="J484" s="23">
        <f>IF($D484="LSF čempionatas",IFERROR($E484/SUMIFS(Parametrai!$B$2:$B$21,Parametrai!$A$2:$A$21,$A484)*SUMIFS(Parametrai!$E$2:$E$21,Parametrai!$A$2:$A$21,$A484),0),IF($D484="Kitos varžybos, deklaruotos reitingui",IFERROR($F484/MAX($G484,SUMIFS(Parametrai!$F$2:$F$21,Parametrai!$A$2:$A$21,$A484))*IF($H484="",1,$H484),0),IF($D484="Susikertančios su Lietuvos čempionatu",0.95*SUMIFS($J$2:$J$500,$B$2:$B$500,$B484,$A$2:$A$500,$A484-1),IF($D484="Papildomi (R+)",IFERROR(MAX(0,($F484-900)/1000),0),0))))</f>
        <v>0</v>
      </c>
    </row>
    <row r="485" spans="10:10" ht="15" customHeight="1" x14ac:dyDescent="0.3">
      <c r="J485" s="23">
        <f>IF($D485="LSF čempionatas",IFERROR($E485/SUMIFS(Parametrai!$B$2:$B$21,Parametrai!$A$2:$A$21,$A485)*SUMIFS(Parametrai!$E$2:$E$21,Parametrai!$A$2:$A$21,$A485),0),IF($D485="Kitos varžybos, deklaruotos reitingui",IFERROR($F485/MAX($G485,SUMIFS(Parametrai!$F$2:$F$21,Parametrai!$A$2:$A$21,$A485))*IF($H485="",1,$H485),0),IF($D485="Susikertančios su Lietuvos čempionatu",0.95*SUMIFS($J$2:$J$500,$B$2:$B$500,$B485,$A$2:$A$500,$A485-1),IF($D485="Papildomi (R+)",IFERROR(MAX(0,($F485-900)/1000),0),0))))</f>
        <v>0</v>
      </c>
    </row>
    <row r="486" spans="10:10" ht="15" customHeight="1" x14ac:dyDescent="0.3">
      <c r="J486" s="23">
        <f>IF($D486="LSF čempionatas",IFERROR($E486/SUMIFS(Parametrai!$B$2:$B$21,Parametrai!$A$2:$A$21,$A486)*SUMIFS(Parametrai!$E$2:$E$21,Parametrai!$A$2:$A$21,$A486),0),IF($D486="Kitos varžybos, deklaruotos reitingui",IFERROR($F486/MAX($G486,SUMIFS(Parametrai!$F$2:$F$21,Parametrai!$A$2:$A$21,$A486))*IF($H486="",1,$H486),0),IF($D486="Susikertančios su Lietuvos čempionatu",0.95*SUMIFS($J$2:$J$500,$B$2:$B$500,$B486,$A$2:$A$500,$A486-1),IF($D486="Papildomi (R+)",IFERROR(MAX(0,($F486-900)/1000),0),0))))</f>
        <v>0</v>
      </c>
    </row>
    <row r="487" spans="10:10" ht="15" customHeight="1" x14ac:dyDescent="0.3">
      <c r="J487" s="23">
        <f>IF($D487="LSF čempionatas",IFERROR($E487/SUMIFS(Parametrai!$B$2:$B$21,Parametrai!$A$2:$A$21,$A487)*SUMIFS(Parametrai!$E$2:$E$21,Parametrai!$A$2:$A$21,$A487),0),IF($D487="Kitos varžybos, deklaruotos reitingui",IFERROR($F487/MAX($G487,SUMIFS(Parametrai!$F$2:$F$21,Parametrai!$A$2:$A$21,$A487))*IF($H487="",1,$H487),0),IF($D487="Susikertančios su Lietuvos čempionatu",0.95*SUMIFS($J$2:$J$500,$B$2:$B$500,$B487,$A$2:$A$500,$A487-1),IF($D487="Papildomi (R+)",IFERROR(MAX(0,($F487-900)/1000),0),0))))</f>
        <v>0</v>
      </c>
    </row>
    <row r="488" spans="10:10" ht="15" customHeight="1" x14ac:dyDescent="0.3">
      <c r="J488" s="23">
        <f>IF($D488="LSF čempionatas",IFERROR($E488/SUMIFS(Parametrai!$B$2:$B$21,Parametrai!$A$2:$A$21,$A488)*SUMIFS(Parametrai!$E$2:$E$21,Parametrai!$A$2:$A$21,$A488),0),IF($D488="Kitos varžybos, deklaruotos reitingui",IFERROR($F488/MAX($G488,SUMIFS(Parametrai!$F$2:$F$21,Parametrai!$A$2:$A$21,$A488))*IF($H488="",1,$H488),0),IF($D488="Susikertančios su Lietuvos čempionatu",0.95*SUMIFS($J$2:$J$500,$B$2:$B$500,$B488,$A$2:$A$500,$A488-1),IF($D488="Papildomi (R+)",IFERROR(MAX(0,($F488-900)/1000),0),0))))</f>
        <v>0</v>
      </c>
    </row>
    <row r="489" spans="10:10" ht="15" customHeight="1" x14ac:dyDescent="0.3">
      <c r="J489" s="23">
        <f>IF($D489="LSF čempionatas",IFERROR($E489/SUMIFS(Parametrai!$B$2:$B$21,Parametrai!$A$2:$A$21,$A489)*SUMIFS(Parametrai!$E$2:$E$21,Parametrai!$A$2:$A$21,$A489),0),IF($D489="Kitos varžybos, deklaruotos reitingui",IFERROR($F489/MAX($G489,SUMIFS(Parametrai!$F$2:$F$21,Parametrai!$A$2:$A$21,$A489))*IF($H489="",1,$H489),0),IF($D489="Susikertančios su Lietuvos čempionatu",0.95*SUMIFS($J$2:$J$500,$B$2:$B$500,$B489,$A$2:$A$500,$A489-1),IF($D489="Papildomi (R+)",IFERROR(MAX(0,($F489-900)/1000),0),0))))</f>
        <v>0</v>
      </c>
    </row>
    <row r="490" spans="10:10" ht="15" customHeight="1" x14ac:dyDescent="0.3">
      <c r="J490" s="23">
        <f>IF($D490="LSF čempionatas",IFERROR($E490/SUMIFS(Parametrai!$B$2:$B$21,Parametrai!$A$2:$A$21,$A490)*SUMIFS(Parametrai!$E$2:$E$21,Parametrai!$A$2:$A$21,$A490),0),IF($D490="Kitos varžybos, deklaruotos reitingui",IFERROR($F490/MAX($G490,SUMIFS(Parametrai!$F$2:$F$21,Parametrai!$A$2:$A$21,$A490))*IF($H490="",1,$H490),0),IF($D490="Susikertančios su Lietuvos čempionatu",0.95*SUMIFS($J$2:$J$500,$B$2:$B$500,$B490,$A$2:$A$500,$A490-1),IF($D490="Papildomi (R+)",IFERROR(MAX(0,($F490-900)/1000),0),0))))</f>
        <v>0</v>
      </c>
    </row>
    <row r="491" spans="10:10" ht="15" customHeight="1" x14ac:dyDescent="0.3">
      <c r="J491" s="23">
        <f>IF($D491="LSF čempionatas",IFERROR($E491/SUMIFS(Parametrai!$B$2:$B$21,Parametrai!$A$2:$A$21,$A491)*SUMIFS(Parametrai!$E$2:$E$21,Parametrai!$A$2:$A$21,$A491),0),IF($D491="Kitos varžybos, deklaruotos reitingui",IFERROR($F491/MAX($G491,SUMIFS(Parametrai!$F$2:$F$21,Parametrai!$A$2:$A$21,$A491))*IF($H491="",1,$H491),0),IF($D491="Susikertančios su Lietuvos čempionatu",0.95*SUMIFS($J$2:$J$500,$B$2:$B$500,$B491,$A$2:$A$500,$A491-1),IF($D491="Papildomi (R+)",IFERROR(MAX(0,($F491-900)/1000),0),0))))</f>
        <v>0</v>
      </c>
    </row>
    <row r="492" spans="10:10" ht="15" customHeight="1" x14ac:dyDescent="0.3">
      <c r="J492" s="23">
        <f>IF($D492="LSF čempionatas",IFERROR($E492/SUMIFS(Parametrai!$B$2:$B$21,Parametrai!$A$2:$A$21,$A492)*SUMIFS(Parametrai!$E$2:$E$21,Parametrai!$A$2:$A$21,$A492),0),IF($D492="Kitos varžybos, deklaruotos reitingui",IFERROR($F492/MAX($G492,SUMIFS(Parametrai!$F$2:$F$21,Parametrai!$A$2:$A$21,$A492))*IF($H492="",1,$H492),0),IF($D492="Susikertančios su Lietuvos čempionatu",0.95*SUMIFS($J$2:$J$500,$B$2:$B$500,$B492,$A$2:$A$500,$A492-1),IF($D492="Papildomi (R+)",IFERROR(MAX(0,($F492-900)/1000),0),0))))</f>
        <v>0</v>
      </c>
    </row>
    <row r="493" spans="10:10" ht="15" customHeight="1" x14ac:dyDescent="0.3">
      <c r="J493" s="23">
        <f>IF($D493="LSF čempionatas",IFERROR($E493/SUMIFS(Parametrai!$B$2:$B$21,Parametrai!$A$2:$A$21,$A493)*SUMIFS(Parametrai!$E$2:$E$21,Parametrai!$A$2:$A$21,$A493),0),IF($D493="Kitos varžybos, deklaruotos reitingui",IFERROR($F493/MAX($G493,SUMIFS(Parametrai!$F$2:$F$21,Parametrai!$A$2:$A$21,$A493))*IF($H493="",1,$H493),0),IF($D493="Susikertančios su Lietuvos čempionatu",0.95*SUMIFS($J$2:$J$500,$B$2:$B$500,$B493,$A$2:$A$500,$A493-1),IF($D493="Papildomi (R+)",IFERROR(MAX(0,($F493-900)/1000),0),0))))</f>
        <v>0</v>
      </c>
    </row>
    <row r="494" spans="10:10" ht="15" customHeight="1" x14ac:dyDescent="0.3">
      <c r="J494" s="23">
        <f>IF($D494="LSF čempionatas",IFERROR($E494/SUMIFS(Parametrai!$B$2:$B$21,Parametrai!$A$2:$A$21,$A494)*SUMIFS(Parametrai!$E$2:$E$21,Parametrai!$A$2:$A$21,$A494),0),IF($D494="Kitos varžybos, deklaruotos reitingui",IFERROR($F494/MAX($G494,SUMIFS(Parametrai!$F$2:$F$21,Parametrai!$A$2:$A$21,$A494))*IF($H494="",1,$H494),0),IF($D494="Susikertančios su Lietuvos čempionatu",0.95*SUMIFS($J$2:$J$500,$B$2:$B$500,$B494,$A$2:$A$500,$A494-1),IF($D494="Papildomi (R+)",IFERROR(MAX(0,($F494-900)/1000),0),0))))</f>
        <v>0</v>
      </c>
    </row>
    <row r="495" spans="10:10" ht="15" customHeight="1" x14ac:dyDescent="0.3">
      <c r="J495" s="23">
        <f>IF($D495="LSF čempionatas",IFERROR($E495/SUMIFS(Parametrai!$B$2:$B$21,Parametrai!$A$2:$A$21,$A495)*SUMIFS(Parametrai!$E$2:$E$21,Parametrai!$A$2:$A$21,$A495),0),IF($D495="Kitos varžybos, deklaruotos reitingui",IFERROR($F495/MAX($G495,SUMIFS(Parametrai!$F$2:$F$21,Parametrai!$A$2:$A$21,$A495))*IF($H495="",1,$H495),0),IF($D495="Susikertančios su Lietuvos čempionatu",0.95*SUMIFS($J$2:$J$500,$B$2:$B$500,$B495,$A$2:$A$500,$A495-1),IF($D495="Papildomi (R+)",IFERROR(MAX(0,($F495-900)/1000),0),0))))</f>
        <v>0</v>
      </c>
    </row>
    <row r="496" spans="10:10" ht="15" customHeight="1" x14ac:dyDescent="0.3">
      <c r="J496" s="23">
        <f>IF($D496="LSF čempionatas",IFERROR($E496/SUMIFS(Parametrai!$B$2:$B$21,Parametrai!$A$2:$A$21,$A496)*SUMIFS(Parametrai!$E$2:$E$21,Parametrai!$A$2:$A$21,$A496),0),IF($D496="Kitos varžybos, deklaruotos reitingui",IFERROR($F496/MAX($G496,SUMIFS(Parametrai!$F$2:$F$21,Parametrai!$A$2:$A$21,$A496))*IF($H496="",1,$H496),0),IF($D496="Susikertančios su Lietuvos čempionatu",0.95*SUMIFS($J$2:$J$500,$B$2:$B$500,$B496,$A$2:$A$500,$A496-1),IF($D496="Papildomi (R+)",IFERROR(MAX(0,($F496-900)/1000),0),0))))</f>
        <v>0</v>
      </c>
    </row>
    <row r="497" spans="10:10" ht="15" customHeight="1" x14ac:dyDescent="0.3">
      <c r="J497" s="23">
        <f>IF($D497="LSF čempionatas",IFERROR($E497/SUMIFS(Parametrai!$B$2:$B$21,Parametrai!$A$2:$A$21,$A497)*SUMIFS(Parametrai!$E$2:$E$21,Parametrai!$A$2:$A$21,$A497),0),IF($D497="Kitos varžybos, deklaruotos reitingui",IFERROR($F497/MAX($G497,SUMIFS(Parametrai!$F$2:$F$21,Parametrai!$A$2:$A$21,$A497))*IF($H497="",1,$H497),0),IF($D497="Susikertančios su Lietuvos čempionatu",0.95*SUMIFS($J$2:$J$500,$B$2:$B$500,$B497,$A$2:$A$500,$A497-1),IF($D497="Papildomi (R+)",IFERROR(MAX(0,($F497-900)/1000),0),0))))</f>
        <v>0</v>
      </c>
    </row>
    <row r="498" spans="10:10" ht="15" customHeight="1" x14ac:dyDescent="0.3">
      <c r="J498" s="23">
        <f>IF($D498="LSF čempionatas",IFERROR($E498/SUMIFS(Parametrai!$B$2:$B$21,Parametrai!$A$2:$A$21,$A498)*SUMIFS(Parametrai!$E$2:$E$21,Parametrai!$A$2:$A$21,$A498),0),IF($D498="Kitos varžybos, deklaruotos reitingui",IFERROR($F498/MAX($G498,SUMIFS(Parametrai!$F$2:$F$21,Parametrai!$A$2:$A$21,$A498))*IF($H498="",1,$H498),0),IF($D498="Susikertančios su Lietuvos čempionatu",0.95*SUMIFS($J$2:$J$500,$B$2:$B$500,$B498,$A$2:$A$500,$A498-1),IF($D498="Papildomi (R+)",IFERROR(MAX(0,($F498-900)/1000),0),0))))</f>
        <v>0</v>
      </c>
    </row>
    <row r="499" spans="10:10" ht="15" customHeight="1" x14ac:dyDescent="0.3">
      <c r="J499" s="23">
        <f>IF($D499="LSF čempionatas",IFERROR($E499/SUMIFS(Parametrai!$B$2:$B$21,Parametrai!$A$2:$A$21,$A499)*SUMIFS(Parametrai!$E$2:$E$21,Parametrai!$A$2:$A$21,$A499),0),IF($D499="Kitos varžybos, deklaruotos reitingui",IFERROR($F499/MAX($G499,SUMIFS(Parametrai!$F$2:$F$21,Parametrai!$A$2:$A$21,$A499))*IF($H499="",1,$H499),0),IF($D499="Susikertančios su Lietuvos čempionatu",0.95*SUMIFS($J$2:$J$500,$B$2:$B$500,$B499,$A$2:$A$500,$A499-1),IF($D499="Papildomi (R+)",IFERROR(MAX(0,($F499-900)/1000),0),0))))</f>
        <v>0</v>
      </c>
    </row>
    <row r="500" spans="10:10" ht="15" customHeight="1" x14ac:dyDescent="0.3">
      <c r="J500" s="23">
        <f>IF($D500="LSF čempionatas",IFERROR($E500/SUMIFS(Parametrai!$B$2:$B$21,Parametrai!$A$2:$A$21,$A500)*SUMIFS(Parametrai!$E$2:$E$21,Parametrai!$A$2:$A$21,$A500),0),IF($D500="Kitos varžybos, deklaruotos reitingui",IFERROR($F500/MAX($G500,SUMIFS(Parametrai!$F$2:$F$21,Parametrai!$A$2:$A$21,$A500))*IF($H500="",1,$H500),0),IF($D500="Susikertančios su Lietuvos čempionatu",0.95*SUMIFS($J$2:$J$500,$B$2:$B$500,$B500,$A$2:$A$500,$A500-1),IF($D500="Papildomi (R+)",IFERROR(MAX(0,($F500-900)/1000),0),0))))</f>
        <v>0</v>
      </c>
    </row>
  </sheetData>
  <pageMargins left="0.75" right="0.75" top="1" bottom="1" header="0.511811023622047" footer="0.511811023622047"/>
  <pageSetup paperSize="9" orientation="portrait" horizontalDpi="300" verticalDpi="300"/>
  <legacy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0000000}">
          <x14:formula1>
            <xm:f>Sąrašai!$A$1:$A$5</xm:f>
          </x14:formula1>
          <x14:formula2>
            <xm:f>0</xm:f>
          </x14:formula2>
          <xm:sqref>D2:D500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ED7D31"/>
  </sheetPr>
  <dimension ref="A1:F13"/>
  <sheetViews>
    <sheetView zoomScaleNormal="100" workbookViewId="0">
      <pane ySplit="1" topLeftCell="A2" activePane="bottomLeft" state="frozen"/>
      <selection pane="bottomLeft" activeCell="F17" sqref="F17"/>
    </sheetView>
  </sheetViews>
  <sheetFormatPr defaultColWidth="8.6640625" defaultRowHeight="14.4" x14ac:dyDescent="0.3"/>
  <cols>
    <col min="1" max="1" width="8" customWidth="1"/>
    <col min="2" max="2" width="10" customWidth="1"/>
    <col min="3" max="4" width="8" customWidth="1"/>
    <col min="5" max="5" width="9" customWidth="1"/>
    <col min="6" max="6" width="34.6640625" customWidth="1"/>
  </cols>
  <sheetData>
    <row r="1" spans="1:6" ht="15" customHeight="1" x14ac:dyDescent="0.3">
      <c r="A1" s="11" t="s">
        <v>40</v>
      </c>
      <c r="B1" s="11" t="s">
        <v>120</v>
      </c>
      <c r="C1" s="11" t="s">
        <v>121</v>
      </c>
      <c r="D1" s="11" t="s">
        <v>122</v>
      </c>
      <c r="E1" s="11" t="s">
        <v>123</v>
      </c>
      <c r="F1" s="11" t="s">
        <v>124</v>
      </c>
    </row>
    <row r="2" spans="1:6" ht="15" customHeight="1" x14ac:dyDescent="0.3">
      <c r="A2" s="24">
        <v>2017</v>
      </c>
      <c r="B2" s="13">
        <f>IFERROR(_xlfn.MAXIFS(Rezultatai!$E$2:$E$500,Rezultatai!$A$2:$A$500,$A2,Rezultatai!$D$2:$D$500,"LSF čempionatas"),0)</f>
        <v>8234</v>
      </c>
      <c r="C2" s="13">
        <f>COUNTIFS(Rezultatai!$A$2:$A$500,$A2,Rezultatai!$D$2:$D$500,"LSF čempionatas")</f>
        <v>20</v>
      </c>
      <c r="D2" s="24">
        <v>10</v>
      </c>
      <c r="E2" s="25">
        <f t="shared" ref="E2:E13" si="0">MIN(1,$C2/10)*MIN(1,$D2/4)</f>
        <v>1</v>
      </c>
      <c r="F2" s="24">
        <v>0</v>
      </c>
    </row>
    <row r="3" spans="1:6" ht="15" customHeight="1" x14ac:dyDescent="0.3">
      <c r="A3" s="24">
        <v>2018</v>
      </c>
      <c r="B3" s="13">
        <f>IFERROR(_xlfn.MAXIFS(Rezultatai!$E$2:$E$500,Rezultatai!$A$2:$A$500,$A3,Rezultatai!$D$2:$D$500,"LSF čempionatas"),0)</f>
        <v>9402</v>
      </c>
      <c r="C3" s="13">
        <f>COUNTIFS(Rezultatai!$A$2:$A$500,$A3,Rezultatai!$D$2:$D$500,"LSF čempionatas")</f>
        <v>21</v>
      </c>
      <c r="D3" s="24">
        <v>11</v>
      </c>
      <c r="E3" s="25">
        <f t="shared" si="0"/>
        <v>1</v>
      </c>
      <c r="F3" s="24">
        <v>0</v>
      </c>
    </row>
    <row r="4" spans="1:6" ht="15" customHeight="1" x14ac:dyDescent="0.3">
      <c r="A4" s="24">
        <v>2019</v>
      </c>
      <c r="B4" s="13">
        <f>IFERROR(_xlfn.MAXIFS(Rezultatai!$E$2:$E$500,Rezultatai!$A$2:$A$500,$A4,Rezultatai!$D$2:$D$500,"LSF čempionatas"),0)</f>
        <v>8841</v>
      </c>
      <c r="C4" s="13">
        <f>COUNTIFS(Rezultatai!$A$2:$A$500,$A4,Rezultatai!$D$2:$D$500,"LSF čempionatas")</f>
        <v>21</v>
      </c>
      <c r="D4" s="24">
        <v>11</v>
      </c>
      <c r="E4" s="25">
        <f t="shared" si="0"/>
        <v>1</v>
      </c>
      <c r="F4" s="24">
        <v>0</v>
      </c>
    </row>
    <row r="5" spans="1:6" ht="15" customHeight="1" x14ac:dyDescent="0.3">
      <c r="A5" s="24">
        <v>2020</v>
      </c>
      <c r="B5" s="13">
        <f>IFERROR(_xlfn.MAXIFS(Rezultatai!$E$2:$E$500,Rezultatai!$A$2:$A$500,$A5,Rezultatai!$D$2:$D$500,"LSF čempionatas"),0)</f>
        <v>9947</v>
      </c>
      <c r="C5" s="13">
        <f>COUNTIFS(Rezultatai!$A$2:$A$500,$A5,Rezultatai!$D$2:$D$500,"LSF čempionatas")</f>
        <v>26</v>
      </c>
      <c r="D5" s="24">
        <v>12</v>
      </c>
      <c r="E5" s="25">
        <f t="shared" si="0"/>
        <v>1</v>
      </c>
      <c r="F5" s="24">
        <v>0</v>
      </c>
    </row>
    <row r="6" spans="1:6" ht="15" customHeight="1" x14ac:dyDescent="0.3">
      <c r="A6" s="24">
        <v>2021</v>
      </c>
      <c r="B6" s="13">
        <f>IFERROR(_xlfn.MAXIFS(Rezultatai!$E$2:$E$500,Rezultatai!$A$2:$A$500,$A6,Rezultatai!$D$2:$D$500,"LSF čempionatas"),0)</f>
        <v>6045</v>
      </c>
      <c r="C6" s="13">
        <f>COUNTIFS(Rezultatai!$A$2:$A$500,$A6,Rezultatai!$D$2:$D$500,"LSF čempionatas")</f>
        <v>23</v>
      </c>
      <c r="D6" s="24">
        <v>7</v>
      </c>
      <c r="E6" s="25">
        <f t="shared" si="0"/>
        <v>1</v>
      </c>
      <c r="F6" s="24">
        <v>0</v>
      </c>
    </row>
    <row r="7" spans="1:6" ht="15" customHeight="1" x14ac:dyDescent="0.3">
      <c r="A7" s="24">
        <v>2022</v>
      </c>
      <c r="B7" s="13">
        <f>IFERROR(_xlfn.MAXIFS(Rezultatai!$E$2:$E$500,Rezultatai!$A$2:$A$500,$A7,Rezultatai!$D$2:$D$500,"LSF čempionatas"),0)</f>
        <v>2949</v>
      </c>
      <c r="C7" s="13">
        <f>COUNTIFS(Rezultatai!$A$2:$A$500,$A7,Rezultatai!$D$2:$D$500,"LSF čempionatas")</f>
        <v>22</v>
      </c>
      <c r="D7" s="24">
        <v>5</v>
      </c>
      <c r="E7" s="25">
        <f t="shared" si="0"/>
        <v>1</v>
      </c>
      <c r="F7" s="24">
        <v>0</v>
      </c>
    </row>
    <row r="8" spans="1:6" ht="15" customHeight="1" x14ac:dyDescent="0.3">
      <c r="A8" s="24">
        <v>2023</v>
      </c>
      <c r="B8" s="13">
        <f>IFERROR(_xlfn.MAXIFS(Rezultatai!$E$2:$E$500,Rezultatai!$A$2:$A$500,$A8,Rezultatai!$D$2:$D$500,"LSF čempionatas"),0)</f>
        <v>8280</v>
      </c>
      <c r="C8" s="13">
        <f>COUNTIFS(Rezultatai!$A$2:$A$500,$A8,Rezultatai!$D$2:$D$500,"LSF čempionatas")</f>
        <v>25</v>
      </c>
      <c r="D8" s="24">
        <v>5</v>
      </c>
      <c r="E8" s="25">
        <f t="shared" si="0"/>
        <v>1</v>
      </c>
      <c r="F8" s="24">
        <v>0</v>
      </c>
    </row>
    <row r="9" spans="1:6" ht="15" customHeight="1" x14ac:dyDescent="0.3">
      <c r="A9" s="24">
        <v>2024</v>
      </c>
      <c r="B9" s="13">
        <f>IFERROR(_xlfn.MAXIFS(Rezultatai!$E$2:$E$500,Rezultatai!$A$2:$A$500,$A9,Rezultatai!$D$2:$D$500,"LSF čempionatas"),0)</f>
        <v>7111</v>
      </c>
      <c r="C9" s="13">
        <f>COUNTIFS(Rezultatai!$A$2:$A$500,$A9,Rezultatai!$D$2:$D$500,"LSF čempionatas")</f>
        <v>18</v>
      </c>
      <c r="D9" s="24">
        <v>9</v>
      </c>
      <c r="E9" s="25">
        <f t="shared" si="0"/>
        <v>1</v>
      </c>
      <c r="F9" s="24">
        <v>0</v>
      </c>
    </row>
    <row r="10" spans="1:6" ht="15" customHeight="1" x14ac:dyDescent="0.3">
      <c r="A10" s="24">
        <v>2025</v>
      </c>
      <c r="B10" s="13">
        <f>IFERROR(_xlfn.MAXIFS(Rezultatai!$E$2:$E$500,Rezultatai!$A$2:$A$500,$A10,Rezultatai!$D$2:$D$500,"LSF čempionatas"),0)</f>
        <v>4425</v>
      </c>
      <c r="C10" s="13">
        <f>COUNTIFS(Rezultatai!$A$2:$A$500,$A10,Rezultatai!$D$2:$D$500,"LSF čempionatas")</f>
        <v>13</v>
      </c>
      <c r="D10" s="24">
        <v>7</v>
      </c>
      <c r="E10" s="25">
        <f t="shared" si="0"/>
        <v>1</v>
      </c>
      <c r="F10" s="24">
        <v>0</v>
      </c>
    </row>
    <row r="11" spans="1:6" ht="15" customHeight="1" x14ac:dyDescent="0.3">
      <c r="A11" s="24">
        <v>2026</v>
      </c>
      <c r="B11" s="13">
        <f>IFERROR(_xlfn.MAXIFS(Rezultatai!$E$2:$E$500,Rezultatai!$A$2:$A$500,$A11,Rezultatai!$D$2:$D$500,"LSF čempionatas"),0)</f>
        <v>8257</v>
      </c>
      <c r="C11" s="13">
        <f>COUNTIFS(Rezultatai!$A$2:$A$500,$A11,Rezultatai!$D$2:$D$500,"LSF čempionatas")</f>
        <v>17</v>
      </c>
      <c r="D11" s="26">
        <v>10</v>
      </c>
      <c r="E11" s="25">
        <f t="shared" si="0"/>
        <v>1</v>
      </c>
      <c r="F11" s="24">
        <v>960</v>
      </c>
    </row>
    <row r="12" spans="1:6" ht="15" customHeight="1" x14ac:dyDescent="0.3">
      <c r="A12" s="24">
        <v>2027</v>
      </c>
      <c r="B12" s="13">
        <f>IFERROR(_xlfn.MAXIFS(Rezultatai!$E$2:$E$500,Rezultatai!$A$2:$A$500,$A12,Rezultatai!$D$2:$D$500,"LSF čempionatas"),0)</f>
        <v>0</v>
      </c>
      <c r="C12" s="13">
        <f>COUNTIFS(Rezultatai!$A$2:$A$500,$A12,Rezultatai!$D$2:$D$500,"LSF čempionatas")</f>
        <v>0</v>
      </c>
      <c r="D12" s="26">
        <v>0</v>
      </c>
      <c r="E12" s="25">
        <f t="shared" si="0"/>
        <v>0</v>
      </c>
      <c r="F12" s="24">
        <v>0</v>
      </c>
    </row>
    <row r="13" spans="1:6" ht="15" customHeight="1" x14ac:dyDescent="0.3">
      <c r="A13" s="24">
        <v>2028</v>
      </c>
      <c r="B13" s="13">
        <f>IFERROR(_xlfn.MAXIFS(Rezultatai!$E$2:$E$500,Rezultatai!$A$2:$A$500,$A13,Rezultatai!$D$2:$D$500,"LSF čempionatas"),0)</f>
        <v>0</v>
      </c>
      <c r="C13" s="13">
        <f>COUNTIFS(Rezultatai!$A$2:$A$500,$A13,Rezultatai!$D$2:$D$500,"LSF čempionatas")</f>
        <v>0</v>
      </c>
      <c r="D13" s="26">
        <v>0</v>
      </c>
      <c r="E13" s="25">
        <f t="shared" si="0"/>
        <v>0</v>
      </c>
      <c r="F13" s="24">
        <v>0</v>
      </c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101"/>
  <sheetViews>
    <sheetView zoomScaleNormal="100" workbookViewId="0">
      <pane ySplit="1" topLeftCell="A4" activePane="bottomLeft" state="frozen"/>
      <selection pane="bottomLeft" activeCell="C2" sqref="C2"/>
    </sheetView>
  </sheetViews>
  <sheetFormatPr defaultColWidth="8.6640625" defaultRowHeight="14.4" x14ac:dyDescent="0.3"/>
  <cols>
    <col min="1" max="1" width="6" customWidth="1"/>
    <col min="2" max="2" width="26" customWidth="1"/>
    <col min="3" max="3" width="24" customWidth="1"/>
  </cols>
  <sheetData>
    <row r="1" spans="1:3" ht="15" customHeight="1" x14ac:dyDescent="0.3">
      <c r="A1" s="11" t="s">
        <v>32</v>
      </c>
      <c r="B1" s="11" t="s">
        <v>33</v>
      </c>
      <c r="C1" s="11" t="s">
        <v>125</v>
      </c>
    </row>
    <row r="2" spans="1:3" ht="15" customHeight="1" x14ac:dyDescent="0.3">
      <c r="A2" s="13">
        <v>1</v>
      </c>
      <c r="B2" s="24" t="s">
        <v>86</v>
      </c>
      <c r="C2" s="24" t="s">
        <v>126</v>
      </c>
    </row>
    <row r="3" spans="1:3" ht="15" customHeight="1" x14ac:dyDescent="0.3">
      <c r="A3" s="13">
        <v>2</v>
      </c>
      <c r="B3" s="24" t="s">
        <v>78</v>
      </c>
      <c r="C3" s="24" t="s">
        <v>116</v>
      </c>
    </row>
    <row r="4" spans="1:3" ht="15" customHeight="1" x14ac:dyDescent="0.3">
      <c r="A4" s="13">
        <v>3</v>
      </c>
      <c r="B4" s="24" t="s">
        <v>62</v>
      </c>
      <c r="C4" s="24" t="s">
        <v>56</v>
      </c>
    </row>
    <row r="5" spans="1:3" ht="15" customHeight="1" x14ac:dyDescent="0.3">
      <c r="A5" s="13">
        <v>4</v>
      </c>
      <c r="B5" s="24" t="s">
        <v>48</v>
      </c>
      <c r="C5" s="24" t="s">
        <v>126</v>
      </c>
    </row>
    <row r="6" spans="1:3" ht="15" customHeight="1" x14ac:dyDescent="0.3">
      <c r="A6" s="13">
        <v>5</v>
      </c>
      <c r="B6" s="24" t="s">
        <v>64</v>
      </c>
      <c r="C6" s="24" t="s">
        <v>126</v>
      </c>
    </row>
    <row r="7" spans="1:3" ht="15" customHeight="1" x14ac:dyDescent="0.3">
      <c r="A7" s="13">
        <v>6</v>
      </c>
      <c r="B7" s="24" t="s">
        <v>103</v>
      </c>
      <c r="C7" s="24" t="s">
        <v>126</v>
      </c>
    </row>
    <row r="8" spans="1:3" ht="15" customHeight="1" x14ac:dyDescent="0.3">
      <c r="A8" s="13">
        <v>7</v>
      </c>
      <c r="B8" s="24" t="s">
        <v>75</v>
      </c>
      <c r="C8" s="24" t="s">
        <v>56</v>
      </c>
    </row>
    <row r="9" spans="1:3" ht="15" customHeight="1" x14ac:dyDescent="0.3">
      <c r="A9" s="13">
        <v>8</v>
      </c>
      <c r="B9" s="24" t="s">
        <v>113</v>
      </c>
      <c r="C9" s="24" t="s">
        <v>116</v>
      </c>
    </row>
    <row r="10" spans="1:3" ht="15" customHeight="1" x14ac:dyDescent="0.3">
      <c r="A10" s="13">
        <v>9</v>
      </c>
      <c r="B10" s="24" t="s">
        <v>58</v>
      </c>
      <c r="C10" s="24" t="s">
        <v>127</v>
      </c>
    </row>
    <row r="11" spans="1:3" ht="15" customHeight="1" x14ac:dyDescent="0.3">
      <c r="A11" s="13">
        <v>10</v>
      </c>
      <c r="B11" s="24" t="s">
        <v>83</v>
      </c>
      <c r="C11" s="24" t="s">
        <v>56</v>
      </c>
    </row>
    <row r="12" spans="1:3" ht="15" customHeight="1" x14ac:dyDescent="0.3">
      <c r="A12" s="13">
        <v>11</v>
      </c>
      <c r="B12" s="24" t="s">
        <v>57</v>
      </c>
      <c r="C12" s="24" t="s">
        <v>116</v>
      </c>
    </row>
    <row r="13" spans="1:3" ht="15" customHeight="1" x14ac:dyDescent="0.3">
      <c r="A13" s="13">
        <v>12</v>
      </c>
      <c r="B13" s="24" t="s">
        <v>72</v>
      </c>
      <c r="C13" s="24" t="s">
        <v>116</v>
      </c>
    </row>
    <row r="14" spans="1:3" ht="15" customHeight="1" x14ac:dyDescent="0.3">
      <c r="A14" s="13">
        <v>13</v>
      </c>
      <c r="B14" s="24" t="s">
        <v>54</v>
      </c>
      <c r="C14" s="24" t="s">
        <v>126</v>
      </c>
    </row>
    <row r="15" spans="1:3" ht="15" customHeight="1" x14ac:dyDescent="0.3">
      <c r="A15" s="13">
        <v>14</v>
      </c>
      <c r="B15" s="24" t="s">
        <v>81</v>
      </c>
      <c r="C15" s="24" t="s">
        <v>126</v>
      </c>
    </row>
    <row r="16" spans="1:3" ht="15" customHeight="1" x14ac:dyDescent="0.3">
      <c r="A16" s="13">
        <v>15</v>
      </c>
      <c r="B16" s="24" t="s">
        <v>55</v>
      </c>
      <c r="C16" s="24" t="s">
        <v>56</v>
      </c>
    </row>
    <row r="17" spans="1:3" ht="15" customHeight="1" x14ac:dyDescent="0.3">
      <c r="A17" s="13">
        <v>16</v>
      </c>
      <c r="B17" s="24" t="s">
        <v>79</v>
      </c>
      <c r="C17" s="24" t="s">
        <v>126</v>
      </c>
    </row>
    <row r="18" spans="1:3" ht="15" customHeight="1" x14ac:dyDescent="0.3">
      <c r="A18" s="13">
        <v>17</v>
      </c>
      <c r="B18" s="24" t="s">
        <v>107</v>
      </c>
      <c r="C18" s="24" t="s">
        <v>116</v>
      </c>
    </row>
    <row r="19" spans="1:3" ht="15" customHeight="1" x14ac:dyDescent="0.3">
      <c r="A19" s="13">
        <v>18</v>
      </c>
      <c r="B19" s="24" t="s">
        <v>102</v>
      </c>
      <c r="C19" s="24" t="s">
        <v>128</v>
      </c>
    </row>
    <row r="20" spans="1:3" ht="15" customHeight="1" x14ac:dyDescent="0.3">
      <c r="A20" s="13">
        <v>19</v>
      </c>
      <c r="B20" s="24" t="s">
        <v>89</v>
      </c>
      <c r="C20" s="24" t="s">
        <v>116</v>
      </c>
    </row>
    <row r="21" spans="1:3" ht="15" customHeight="1" x14ac:dyDescent="0.3">
      <c r="A21" s="13">
        <v>20</v>
      </c>
      <c r="B21" s="24" t="s">
        <v>108</v>
      </c>
      <c r="C21" s="24" t="s">
        <v>116</v>
      </c>
    </row>
    <row r="22" spans="1:3" ht="15" customHeight="1" x14ac:dyDescent="0.3">
      <c r="A22" s="13">
        <v>21</v>
      </c>
      <c r="B22" s="24" t="s">
        <v>60</v>
      </c>
      <c r="C22" s="24" t="s">
        <v>61</v>
      </c>
    </row>
    <row r="23" spans="1:3" ht="15" customHeight="1" x14ac:dyDescent="0.3">
      <c r="A23" s="13">
        <v>22</v>
      </c>
      <c r="B23" s="24" t="s">
        <v>67</v>
      </c>
      <c r="C23" s="24" t="s">
        <v>116</v>
      </c>
    </row>
    <row r="24" spans="1:3" ht="15" customHeight="1" x14ac:dyDescent="0.3">
      <c r="A24" s="13">
        <v>23</v>
      </c>
      <c r="B24" s="24" t="s">
        <v>74</v>
      </c>
      <c r="C24" s="24" t="s">
        <v>116</v>
      </c>
    </row>
    <row r="25" spans="1:3" ht="15" customHeight="1" x14ac:dyDescent="0.3">
      <c r="A25" s="13">
        <v>24</v>
      </c>
      <c r="B25" s="24" t="s">
        <v>95</v>
      </c>
      <c r="C25" s="24" t="s">
        <v>96</v>
      </c>
    </row>
    <row r="26" spans="1:3" ht="15" customHeight="1" x14ac:dyDescent="0.3">
      <c r="A26" s="13">
        <v>25</v>
      </c>
      <c r="B26" s="24" t="s">
        <v>105</v>
      </c>
      <c r="C26" s="24" t="s">
        <v>106</v>
      </c>
    </row>
    <row r="27" spans="1:3" ht="15" customHeight="1" x14ac:dyDescent="0.3">
      <c r="A27" s="13">
        <v>26</v>
      </c>
      <c r="B27" s="24" t="s">
        <v>90</v>
      </c>
      <c r="C27" s="24" t="s">
        <v>126</v>
      </c>
    </row>
    <row r="28" spans="1:3" ht="15" customHeight="1" x14ac:dyDescent="0.3">
      <c r="A28" s="13">
        <v>27</v>
      </c>
      <c r="B28" s="24" t="s">
        <v>76</v>
      </c>
      <c r="C28" s="24" t="s">
        <v>61</v>
      </c>
    </row>
    <row r="29" spans="1:3" ht="15" customHeight="1" x14ac:dyDescent="0.3">
      <c r="A29" s="13">
        <v>28</v>
      </c>
      <c r="B29" s="24" t="s">
        <v>101</v>
      </c>
      <c r="C29" s="24" t="s">
        <v>126</v>
      </c>
    </row>
    <row r="30" spans="1:3" ht="15" customHeight="1" x14ac:dyDescent="0.3">
      <c r="A30" s="13">
        <v>29</v>
      </c>
      <c r="B30" s="24" t="s">
        <v>97</v>
      </c>
      <c r="C30" s="24" t="s">
        <v>98</v>
      </c>
    </row>
    <row r="31" spans="1:3" ht="15" customHeight="1" x14ac:dyDescent="0.3">
      <c r="A31" s="13">
        <v>30</v>
      </c>
      <c r="B31" s="24" t="s">
        <v>80</v>
      </c>
      <c r="C31" s="24" t="s">
        <v>116</v>
      </c>
    </row>
    <row r="32" spans="1:3" ht="15" customHeight="1" x14ac:dyDescent="0.3">
      <c r="A32" s="13">
        <v>31</v>
      </c>
      <c r="B32" s="24" t="s">
        <v>73</v>
      </c>
      <c r="C32" s="24" t="s">
        <v>116</v>
      </c>
    </row>
    <row r="33" spans="1:3" ht="15" customHeight="1" x14ac:dyDescent="0.3">
      <c r="A33" s="13">
        <v>32</v>
      </c>
      <c r="B33" s="24" t="s">
        <v>68</v>
      </c>
      <c r="C33" s="24" t="s">
        <v>128</v>
      </c>
    </row>
    <row r="34" spans="1:3" ht="15" customHeight="1" x14ac:dyDescent="0.3">
      <c r="A34" s="13">
        <v>33</v>
      </c>
      <c r="B34" s="24" t="s">
        <v>84</v>
      </c>
      <c r="C34" s="24" t="s">
        <v>128</v>
      </c>
    </row>
    <row r="35" spans="1:3" ht="15" customHeight="1" x14ac:dyDescent="0.3">
      <c r="A35" s="13">
        <v>34</v>
      </c>
      <c r="B35" s="24" t="s">
        <v>91</v>
      </c>
      <c r="C35" s="24" t="s">
        <v>92</v>
      </c>
    </row>
    <row r="36" spans="1:3" ht="15" customHeight="1" x14ac:dyDescent="0.3">
      <c r="A36" s="13">
        <v>35</v>
      </c>
      <c r="B36" s="24" t="s">
        <v>94</v>
      </c>
      <c r="C36" s="24" t="s">
        <v>116</v>
      </c>
    </row>
    <row r="37" spans="1:3" ht="15" customHeight="1" x14ac:dyDescent="0.3">
      <c r="A37" s="13">
        <v>36</v>
      </c>
      <c r="B37" s="24" t="s">
        <v>93</v>
      </c>
      <c r="C37" s="24" t="s">
        <v>126</v>
      </c>
    </row>
    <row r="38" spans="1:3" ht="15" customHeight="1" x14ac:dyDescent="0.3">
      <c r="A38" s="13">
        <v>37</v>
      </c>
      <c r="B38" s="24" t="s">
        <v>63</v>
      </c>
      <c r="C38" s="24" t="s">
        <v>116</v>
      </c>
    </row>
    <row r="39" spans="1:3" ht="15" customHeight="1" x14ac:dyDescent="0.3">
      <c r="A39" s="13">
        <v>38</v>
      </c>
      <c r="B39" s="24" t="s">
        <v>70</v>
      </c>
      <c r="C39" s="24" t="s">
        <v>116</v>
      </c>
    </row>
    <row r="40" spans="1:3" ht="15" customHeight="1" x14ac:dyDescent="0.3">
      <c r="A40" s="13">
        <v>39</v>
      </c>
      <c r="B40" s="24" t="s">
        <v>66</v>
      </c>
      <c r="C40" s="24" t="s">
        <v>116</v>
      </c>
    </row>
    <row r="41" spans="1:3" ht="15" customHeight="1" x14ac:dyDescent="0.3">
      <c r="A41" s="13">
        <v>40</v>
      </c>
      <c r="B41" s="24" t="s">
        <v>65</v>
      </c>
      <c r="C41" s="24" t="s">
        <v>116</v>
      </c>
    </row>
    <row r="42" spans="1:3" ht="15" customHeight="1" x14ac:dyDescent="0.3">
      <c r="A42" s="13">
        <v>41</v>
      </c>
      <c r="B42" s="24" t="s">
        <v>71</v>
      </c>
      <c r="C42" s="24" t="s">
        <v>116</v>
      </c>
    </row>
    <row r="43" spans="1:3" ht="15" customHeight="1" x14ac:dyDescent="0.3">
      <c r="A43" s="13">
        <v>42</v>
      </c>
      <c r="B43" s="24" t="s">
        <v>88</v>
      </c>
      <c r="C43" s="24" t="s">
        <v>126</v>
      </c>
    </row>
    <row r="44" spans="1:3" ht="15" customHeight="1" x14ac:dyDescent="0.3">
      <c r="A44" s="13">
        <v>43</v>
      </c>
      <c r="B44" s="24" t="s">
        <v>87</v>
      </c>
      <c r="C44" s="24" t="s">
        <v>116</v>
      </c>
    </row>
    <row r="45" spans="1:3" ht="15" customHeight="1" x14ac:dyDescent="0.3">
      <c r="A45" s="13">
        <v>44</v>
      </c>
      <c r="B45" s="24" t="s">
        <v>85</v>
      </c>
      <c r="C45" s="24" t="s">
        <v>116</v>
      </c>
    </row>
    <row r="46" spans="1:3" ht="15" customHeight="1" x14ac:dyDescent="0.3">
      <c r="A46" s="13">
        <v>45</v>
      </c>
      <c r="B46" s="24" t="s">
        <v>82</v>
      </c>
      <c r="C46" s="24" t="s">
        <v>116</v>
      </c>
    </row>
    <row r="47" spans="1:3" ht="15" customHeight="1" x14ac:dyDescent="0.3">
      <c r="A47" s="13">
        <v>46</v>
      </c>
      <c r="B47" s="24" t="s">
        <v>77</v>
      </c>
      <c r="C47" s="24" t="s">
        <v>126</v>
      </c>
    </row>
    <row r="48" spans="1:3" ht="15" customHeight="1" x14ac:dyDescent="0.3">
      <c r="A48" s="13">
        <v>47</v>
      </c>
      <c r="B48" s="24" t="s">
        <v>52</v>
      </c>
      <c r="C48" s="24" t="s">
        <v>116</v>
      </c>
    </row>
    <row r="49" spans="1:3" ht="15" customHeight="1" x14ac:dyDescent="0.3">
      <c r="A49" s="13">
        <v>48</v>
      </c>
      <c r="B49" s="24" t="s">
        <v>129</v>
      </c>
      <c r="C49" s="24" t="s">
        <v>126</v>
      </c>
    </row>
    <row r="50" spans="1:3" ht="15" customHeight="1" x14ac:dyDescent="0.3">
      <c r="A50" s="13">
        <v>49</v>
      </c>
      <c r="B50" s="24" t="s">
        <v>130</v>
      </c>
      <c r="C50" s="24" t="s">
        <v>126</v>
      </c>
    </row>
    <row r="51" spans="1:3" ht="15" customHeight="1" x14ac:dyDescent="0.3">
      <c r="A51" s="13">
        <v>50</v>
      </c>
      <c r="B51" s="24" t="s">
        <v>131</v>
      </c>
      <c r="C51" s="24" t="s">
        <v>126</v>
      </c>
    </row>
    <row r="52" spans="1:3" ht="15" customHeight="1" x14ac:dyDescent="0.3">
      <c r="A52" s="13">
        <v>51</v>
      </c>
      <c r="B52" s="24" t="s">
        <v>132</v>
      </c>
      <c r="C52" s="24" t="s">
        <v>126</v>
      </c>
    </row>
    <row r="53" spans="1:3" ht="15" customHeight="1" x14ac:dyDescent="0.3">
      <c r="A53" s="13">
        <v>52</v>
      </c>
      <c r="B53" s="24" t="s">
        <v>133</v>
      </c>
      <c r="C53" s="24" t="s">
        <v>116</v>
      </c>
    </row>
    <row r="54" spans="1:3" ht="15" customHeight="1" x14ac:dyDescent="0.3">
      <c r="A54" s="13">
        <v>53</v>
      </c>
      <c r="B54" s="24" t="s">
        <v>134</v>
      </c>
      <c r="C54" s="24" t="s">
        <v>116</v>
      </c>
    </row>
    <row r="55" spans="1:3" ht="15" customHeight="1" x14ac:dyDescent="0.3">
      <c r="A55" s="13">
        <v>54</v>
      </c>
      <c r="B55" s="24" t="s">
        <v>135</v>
      </c>
      <c r="C55" s="24" t="s">
        <v>116</v>
      </c>
    </row>
    <row r="56" spans="1:3" ht="15" customHeight="1" x14ac:dyDescent="0.3">
      <c r="A56" s="13">
        <v>55</v>
      </c>
      <c r="B56" s="24" t="s">
        <v>136</v>
      </c>
      <c r="C56" s="24" t="s">
        <v>116</v>
      </c>
    </row>
    <row r="57" spans="1:3" ht="15" customHeight="1" x14ac:dyDescent="0.3">
      <c r="A57" s="13">
        <v>56</v>
      </c>
      <c r="B57" s="24" t="s">
        <v>137</v>
      </c>
      <c r="C57" s="24" t="s">
        <v>128</v>
      </c>
    </row>
    <row r="58" spans="1:3" ht="15" customHeight="1" x14ac:dyDescent="0.3">
      <c r="A58" s="13">
        <v>57</v>
      </c>
      <c r="B58" s="24" t="s">
        <v>138</v>
      </c>
      <c r="C58" s="24" t="s">
        <v>126</v>
      </c>
    </row>
    <row r="59" spans="1:3" ht="15" customHeight="1" x14ac:dyDescent="0.3">
      <c r="A59" s="13">
        <v>58</v>
      </c>
      <c r="B59" s="24" t="s">
        <v>139</v>
      </c>
      <c r="C59" s="24" t="s">
        <v>128</v>
      </c>
    </row>
    <row r="60" spans="1:3" ht="15" customHeight="1" x14ac:dyDescent="0.3">
      <c r="A60" s="13">
        <v>59</v>
      </c>
      <c r="B60" s="24" t="s">
        <v>140</v>
      </c>
      <c r="C60" s="24" t="s">
        <v>127</v>
      </c>
    </row>
    <row r="61" spans="1:3" ht="15" customHeight="1" x14ac:dyDescent="0.3">
      <c r="A61" s="13">
        <v>60</v>
      </c>
      <c r="B61" s="24" t="s">
        <v>141</v>
      </c>
      <c r="C61" s="24" t="s">
        <v>116</v>
      </c>
    </row>
    <row r="62" spans="1:3" ht="15" customHeight="1" x14ac:dyDescent="0.3">
      <c r="A62" s="13">
        <v>61</v>
      </c>
      <c r="B62" s="24" t="s">
        <v>142</v>
      </c>
      <c r="C62" s="24" t="s">
        <v>116</v>
      </c>
    </row>
    <row r="63" spans="1:3" ht="15" customHeight="1" x14ac:dyDescent="0.3">
      <c r="A63" s="13">
        <v>62</v>
      </c>
      <c r="B63" s="24" t="s">
        <v>143</v>
      </c>
      <c r="C63" s="24" t="s">
        <v>126</v>
      </c>
    </row>
    <row r="64" spans="1:3" ht="15" customHeight="1" x14ac:dyDescent="0.3">
      <c r="A64" s="13">
        <v>63</v>
      </c>
      <c r="B64" s="24" t="s">
        <v>144</v>
      </c>
      <c r="C64" s="24" t="s">
        <v>127</v>
      </c>
    </row>
    <row r="65" spans="1:3" ht="15" customHeight="1" x14ac:dyDescent="0.3">
      <c r="A65" s="13">
        <v>64</v>
      </c>
      <c r="B65" s="24" t="s">
        <v>145</v>
      </c>
      <c r="C65" s="24" t="s">
        <v>116</v>
      </c>
    </row>
    <row r="66" spans="1:3" ht="15" customHeight="1" x14ac:dyDescent="0.3">
      <c r="A66" s="13">
        <v>65</v>
      </c>
      <c r="B66" s="24" t="s">
        <v>146</v>
      </c>
      <c r="C66" s="24" t="s">
        <v>116</v>
      </c>
    </row>
    <row r="67" spans="1:3" ht="15" customHeight="1" x14ac:dyDescent="0.3">
      <c r="A67" s="13">
        <v>66</v>
      </c>
      <c r="B67" s="24" t="s">
        <v>147</v>
      </c>
      <c r="C67" s="24" t="s">
        <v>92</v>
      </c>
    </row>
    <row r="68" spans="1:3" ht="15" customHeight="1" x14ac:dyDescent="0.3">
      <c r="A68" s="13">
        <v>67</v>
      </c>
      <c r="B68" s="24" t="s">
        <v>148</v>
      </c>
      <c r="C68" s="24" t="s">
        <v>116</v>
      </c>
    </row>
    <row r="69" spans="1:3" ht="15" customHeight="1" x14ac:dyDescent="0.3">
      <c r="A69" s="13">
        <v>68</v>
      </c>
      <c r="B69" s="24" t="s">
        <v>149</v>
      </c>
      <c r="C69" s="24" t="s">
        <v>116</v>
      </c>
    </row>
    <row r="70" spans="1:3" ht="15" customHeight="1" x14ac:dyDescent="0.3">
      <c r="A70" s="13">
        <v>69</v>
      </c>
      <c r="B70" s="24" t="s">
        <v>150</v>
      </c>
      <c r="C70" s="24" t="s">
        <v>126</v>
      </c>
    </row>
    <row r="71" spans="1:3" ht="15" customHeight="1" x14ac:dyDescent="0.3">
      <c r="A71" s="19">
        <v>70</v>
      </c>
      <c r="B71" s="27"/>
      <c r="C71" s="27"/>
    </row>
    <row r="72" spans="1:3" ht="15" customHeight="1" x14ac:dyDescent="0.3">
      <c r="A72" s="19">
        <v>71</v>
      </c>
      <c r="B72" s="27"/>
      <c r="C72" s="27"/>
    </row>
    <row r="73" spans="1:3" ht="15" customHeight="1" x14ac:dyDescent="0.3">
      <c r="A73" s="19">
        <v>72</v>
      </c>
      <c r="B73" s="27"/>
      <c r="C73" s="27"/>
    </row>
    <row r="74" spans="1:3" ht="15" customHeight="1" x14ac:dyDescent="0.3">
      <c r="A74" s="19">
        <v>73</v>
      </c>
      <c r="B74" s="27"/>
      <c r="C74" s="27"/>
    </row>
    <row r="75" spans="1:3" ht="15" customHeight="1" x14ac:dyDescent="0.3">
      <c r="A75" s="19">
        <v>74</v>
      </c>
      <c r="B75" s="27"/>
      <c r="C75" s="27"/>
    </row>
    <row r="76" spans="1:3" ht="15" customHeight="1" x14ac:dyDescent="0.3">
      <c r="A76" s="19">
        <v>75</v>
      </c>
      <c r="B76" s="27"/>
      <c r="C76" s="27"/>
    </row>
    <row r="77" spans="1:3" ht="15" customHeight="1" x14ac:dyDescent="0.3">
      <c r="A77" s="19">
        <v>76</v>
      </c>
      <c r="B77" s="27"/>
      <c r="C77" s="27"/>
    </row>
    <row r="78" spans="1:3" ht="15" customHeight="1" x14ac:dyDescent="0.3">
      <c r="A78" s="19">
        <v>77</v>
      </c>
      <c r="B78" s="27"/>
      <c r="C78" s="27"/>
    </row>
    <row r="79" spans="1:3" ht="15" customHeight="1" x14ac:dyDescent="0.3">
      <c r="A79" s="19">
        <v>78</v>
      </c>
      <c r="B79" s="27"/>
      <c r="C79" s="27"/>
    </row>
    <row r="80" spans="1:3" ht="15" customHeight="1" x14ac:dyDescent="0.3">
      <c r="A80" s="19">
        <v>79</v>
      </c>
      <c r="B80" s="27"/>
      <c r="C80" s="27"/>
    </row>
    <row r="81" spans="1:3" ht="15" customHeight="1" x14ac:dyDescent="0.3">
      <c r="A81" s="19">
        <v>80</v>
      </c>
      <c r="B81" s="27"/>
      <c r="C81" s="27"/>
    </row>
    <row r="82" spans="1:3" ht="15" customHeight="1" x14ac:dyDescent="0.3">
      <c r="A82" s="19">
        <v>81</v>
      </c>
      <c r="B82" s="27"/>
      <c r="C82" s="27"/>
    </row>
    <row r="83" spans="1:3" ht="15" customHeight="1" x14ac:dyDescent="0.3">
      <c r="A83" s="19">
        <v>82</v>
      </c>
      <c r="B83" s="27"/>
      <c r="C83" s="27"/>
    </row>
    <row r="84" spans="1:3" ht="15" customHeight="1" x14ac:dyDescent="0.3">
      <c r="A84" s="19">
        <v>83</v>
      </c>
      <c r="B84" s="27"/>
      <c r="C84" s="27"/>
    </row>
    <row r="85" spans="1:3" ht="15" customHeight="1" x14ac:dyDescent="0.3">
      <c r="A85" s="19">
        <v>84</v>
      </c>
      <c r="B85" s="27"/>
      <c r="C85" s="27"/>
    </row>
    <row r="86" spans="1:3" ht="15" customHeight="1" x14ac:dyDescent="0.3">
      <c r="A86" s="19">
        <v>85</v>
      </c>
      <c r="B86" s="27"/>
      <c r="C86" s="27"/>
    </row>
    <row r="87" spans="1:3" ht="15" customHeight="1" x14ac:dyDescent="0.3">
      <c r="A87" s="19">
        <v>86</v>
      </c>
      <c r="B87" s="27"/>
      <c r="C87" s="27"/>
    </row>
    <row r="88" spans="1:3" ht="15" customHeight="1" x14ac:dyDescent="0.3">
      <c r="A88" s="19">
        <v>87</v>
      </c>
      <c r="B88" s="27"/>
      <c r="C88" s="27"/>
    </row>
    <row r="89" spans="1:3" ht="15" customHeight="1" x14ac:dyDescent="0.3">
      <c r="A89" s="19">
        <v>88</v>
      </c>
      <c r="B89" s="27"/>
      <c r="C89" s="27"/>
    </row>
    <row r="90" spans="1:3" ht="15" customHeight="1" x14ac:dyDescent="0.3">
      <c r="A90" s="19">
        <v>89</v>
      </c>
      <c r="B90" s="27"/>
      <c r="C90" s="27"/>
    </row>
    <row r="91" spans="1:3" ht="15" customHeight="1" x14ac:dyDescent="0.3">
      <c r="A91" s="19">
        <v>90</v>
      </c>
      <c r="B91" s="27"/>
      <c r="C91" s="27"/>
    </row>
    <row r="92" spans="1:3" ht="15" customHeight="1" x14ac:dyDescent="0.3">
      <c r="A92" s="19">
        <v>91</v>
      </c>
      <c r="B92" s="27"/>
      <c r="C92" s="27"/>
    </row>
    <row r="93" spans="1:3" ht="15" customHeight="1" x14ac:dyDescent="0.3">
      <c r="A93" s="19">
        <v>92</v>
      </c>
      <c r="B93" s="27"/>
      <c r="C93" s="27"/>
    </row>
    <row r="94" spans="1:3" ht="15" customHeight="1" x14ac:dyDescent="0.3">
      <c r="A94" s="19">
        <v>93</v>
      </c>
      <c r="B94" s="27"/>
      <c r="C94" s="27"/>
    </row>
    <row r="95" spans="1:3" ht="15" customHeight="1" x14ac:dyDescent="0.3">
      <c r="A95" s="19">
        <v>94</v>
      </c>
      <c r="B95" s="27"/>
      <c r="C95" s="27"/>
    </row>
    <row r="96" spans="1:3" ht="15" customHeight="1" x14ac:dyDescent="0.3">
      <c r="A96" s="19">
        <v>95</v>
      </c>
      <c r="B96" s="27"/>
      <c r="C96" s="27"/>
    </row>
    <row r="97" spans="1:3" ht="15" customHeight="1" x14ac:dyDescent="0.3">
      <c r="A97" s="19">
        <v>96</v>
      </c>
      <c r="B97" s="27"/>
      <c r="C97" s="27"/>
    </row>
    <row r="98" spans="1:3" ht="15" customHeight="1" x14ac:dyDescent="0.3">
      <c r="A98" s="19">
        <v>97</v>
      </c>
      <c r="B98" s="27"/>
      <c r="C98" s="27"/>
    </row>
    <row r="99" spans="1:3" ht="15" customHeight="1" x14ac:dyDescent="0.3">
      <c r="A99" s="19">
        <v>98</v>
      </c>
      <c r="B99" s="27"/>
      <c r="C99" s="27"/>
    </row>
    <row r="100" spans="1:3" ht="15" customHeight="1" x14ac:dyDescent="0.3">
      <c r="A100" s="19">
        <v>99</v>
      </c>
      <c r="B100" s="27"/>
      <c r="C100" s="27"/>
    </row>
    <row r="101" spans="1:3" ht="15" customHeight="1" x14ac:dyDescent="0.3">
      <c r="A101" s="19">
        <v>100</v>
      </c>
      <c r="B101" s="27"/>
      <c r="C101" s="27"/>
    </row>
  </sheetData>
  <pageMargins left="0.75" right="0.75" top="1" bottom="1" header="0.511811023622047" footer="0.511811023622047"/>
  <pageSetup paperSize="9" orientation="portrait" horizontalDpi="300" verticalDpi="300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3CDDD"/>
  </sheetPr>
  <dimension ref="A1:R105"/>
  <sheetViews>
    <sheetView showGridLines="0" zoomScaleNormal="100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E15" sqref="E15"/>
    </sheetView>
  </sheetViews>
  <sheetFormatPr defaultColWidth="8.6640625" defaultRowHeight="14.4" outlineLevelCol="1" x14ac:dyDescent="0.3"/>
  <cols>
    <col min="1" max="1" width="5" customWidth="1"/>
    <col min="2" max="2" width="26" customWidth="1"/>
    <col min="3" max="3" width="22" customWidth="1"/>
    <col min="4" max="4" width="11" customWidth="1"/>
    <col min="5" max="6" width="13" customWidth="1"/>
    <col min="7" max="7" width="11" customWidth="1"/>
    <col min="8" max="8" width="13" customWidth="1"/>
    <col min="9" max="9" width="11" customWidth="1"/>
    <col min="11" max="17" width="14" hidden="1" customWidth="1" outlineLevel="1"/>
    <col min="18" max="18" width="8.6640625" collapsed="1"/>
  </cols>
  <sheetData>
    <row r="1" spans="1:17" ht="17.25" customHeight="1" x14ac:dyDescent="0.3">
      <c r="A1" s="33" t="s">
        <v>25</v>
      </c>
      <c r="B1" s="33"/>
      <c r="C1" s="33"/>
      <c r="D1" s="33"/>
      <c r="E1" s="33"/>
      <c r="F1" s="33"/>
      <c r="G1" s="33"/>
      <c r="H1" s="33"/>
      <c r="I1" s="33"/>
    </row>
    <row r="2" spans="1:17" ht="15" customHeight="1" x14ac:dyDescent="0.3">
      <c r="A2" s="34" t="s">
        <v>165</v>
      </c>
      <c r="B2" s="34"/>
      <c r="C2" s="34"/>
      <c r="D2" s="34"/>
      <c r="E2" s="34"/>
      <c r="F2" s="34"/>
      <c r="G2" s="34"/>
      <c r="H2" s="34"/>
      <c r="I2" s="34"/>
    </row>
    <row r="3" spans="1:17" ht="15" customHeight="1" x14ac:dyDescent="0.3">
      <c r="A3" s="28"/>
      <c r="G3" s="29" t="str">
        <f>"("&amp;(Reitingai!$C$2)&amp;")"</f>
        <v>(2026)</v>
      </c>
      <c r="H3" s="29" t="str">
        <f>"("&amp;(Reitingai!$C$2-1)&amp;")"</f>
        <v>(2025)</v>
      </c>
      <c r="K3" s="10" t="s">
        <v>31</v>
      </c>
    </row>
    <row r="4" spans="1:17" ht="15" customHeight="1" x14ac:dyDescent="0.3">
      <c r="A4" s="11" t="s">
        <v>32</v>
      </c>
      <c r="B4" s="11" t="s">
        <v>33</v>
      </c>
      <c r="C4" s="11" t="s">
        <v>34</v>
      </c>
      <c r="D4" s="11" t="s">
        <v>151</v>
      </c>
      <c r="E4" s="11" t="s">
        <v>152</v>
      </c>
      <c r="F4" s="11" t="s">
        <v>153</v>
      </c>
      <c r="G4" s="11" t="s">
        <v>154</v>
      </c>
      <c r="H4" s="11" t="s">
        <v>155</v>
      </c>
      <c r="I4" s="11" t="s">
        <v>156</v>
      </c>
      <c r="K4" s="12" t="s">
        <v>33</v>
      </c>
      <c r="L4" s="12" t="s">
        <v>34</v>
      </c>
      <c r="M4" s="12" t="s">
        <v>154</v>
      </c>
      <c r="N4" s="12" t="s">
        <v>155</v>
      </c>
      <c r="O4" s="12" t="s">
        <v>151</v>
      </c>
      <c r="P4" s="12" t="s">
        <v>152</v>
      </c>
      <c r="Q4" s="12" t="s">
        <v>39</v>
      </c>
    </row>
    <row r="6" spans="1:17" ht="15" customHeight="1" x14ac:dyDescent="0.3">
      <c r="A6" s="13">
        <f>IFERROR(MATCH(1,$Q$6:$Q$105,0),"")</f>
        <v>2</v>
      </c>
      <c r="B6" s="13" t="str">
        <f t="shared" ref="B6:B37" si="0">IF($A6="","",INDEX($K$6:$K$105,$A6))</f>
        <v>Linas Miežlaiškis</v>
      </c>
      <c r="C6" s="13" t="str">
        <f t="shared" ref="C6:C37" si="1">IF($A6="","",INDEX($L$6:$L$105,$A6))</f>
        <v>Kauno AASK</v>
      </c>
      <c r="D6" s="13">
        <f t="shared" ref="D6:D37" si="2">IF($A6="","",INDEX($O$6:$O$105,$A6))</f>
        <v>1</v>
      </c>
      <c r="E6" s="16">
        <f t="shared" ref="E6:E37" si="3">IF($A6="","",INDEX($P$6:$P$105,$A6))</f>
        <v>2</v>
      </c>
      <c r="F6" s="30">
        <f t="shared" ref="F6:F37" si="4">IF($A6="","",$E6-$D6)</f>
        <v>1</v>
      </c>
      <c r="G6" s="14">
        <f t="shared" ref="G6:G37" si="5">IF($A6="","",INDEX($M$6:$M$105,$A6))</f>
        <v>978.72724999999991</v>
      </c>
      <c r="H6" s="14">
        <f t="shared" ref="H6:H37" si="6">IF($A6="","",INDEX($N$6:$N$105,$A6))</f>
        <v>932.0981234693877</v>
      </c>
      <c r="I6" s="31">
        <f t="shared" ref="I6:I37" si="7">IF($A6="","",$G6-$H6)</f>
        <v>46.629126530612211</v>
      </c>
      <c r="K6" s="17" t="str">
        <f>IF(Pilotai!B2="","",Pilotai!B2)</f>
        <v>Marius Pluščauskas</v>
      </c>
      <c r="L6" s="17" t="str">
        <f>IF($K6="","",Pilotai!C2)</f>
        <v>Vilniaus Aeroklubas</v>
      </c>
      <c r="M6" s="18">
        <f>IF($K6="","",IFERROR(INDEX(Reitingai!$G$6:$G$105,MATCH($K6,Reitingai!$B$6:$B$105,0)),0))</f>
        <v>851.46321696742143</v>
      </c>
      <c r="N6" s="18">
        <f>IF($K6="","",SUM((SUMIFS(Rezultatai!$J$2:$J$500,Rezultatai!$B$2:$B$500,$K6,Rezultatai!$A$2:$A$500,((Reitingai!$C$2-1)-2),Rezultatai!$D$2:$D$500,"&lt;&gt;Papildomi (R+)")+MIN(SUMIFS(Rezultatai!$J$2:$J$500,Rezultatai!$B$2:$B$500,$K6,Rezultatai!$A$2:$A$500,((Reitingai!$C$2-1)-2),Rezultatai!$D$2:$D$500,"Papildomi (R+)"),0.15*(SUMIFS(Rezultatai!$J$2:$J$500,Rezultatai!$B$2:$B$500,$K6,Rezultatai!$A$2:$A$500,((Reitingai!$C$2-1)-2),Rezultatai!$D$2:$D$500,"&lt;&gt;Papildomi (R+)"))))*MIN(425,375+(1/70)*(SUMIFS(Parametrai!$B$2:$B$40,Parametrai!$A$2:$A$40,((Reitingai!$C$2-1)-2))-2500)),(SUMIFS(Rezultatai!$J$2:$J$500,Rezultatai!$B$2:$B$500,$K6,Rezultatai!$A$2:$A$500,((Reitingai!$C$2-1)-1),Rezultatai!$D$2:$D$500,"&lt;&gt;Papildomi (R+)")+MIN(SUMIFS(Rezultatai!$J$2:$J$500,Rezultatai!$B$2:$B$500,$K6,Rezultatai!$A$2:$A$500,((Reitingai!$C$2-1)-1),Rezultatai!$D$2:$D$500,"Papildomi (R+)"),0.15*(SUMIFS(Rezultatai!$J$2:$J$500,Rezultatai!$B$2:$B$500,$K6,Rezultatai!$A$2:$A$500,((Reitingai!$C$2-1)-1),Rezultatai!$D$2:$D$500,"&lt;&gt;Papildomi (R+)"))))*MIN(450,400+(1/70)*(SUMIFS(Parametrai!$B$2:$B$40,Parametrai!$A$2:$A$40,((Reitingai!$C$2-1)-1))-2500)),(SUMIFS(Rezultatai!$J$2:$J$500,Rezultatai!$B$2:$B$500,$K6,Rezultatai!$A$2:$A$500,(Reitingai!$C$2-1),Rezultatai!$D$2:$D$500,"&lt;&gt;Papildomi (R+)")+MIN(SUMIFS(Rezultatai!$J$2:$J$500,Rezultatai!$B$2:$B$500,$K6,Rezultatai!$A$2:$A$500,(Reitingai!$C$2-1),Rezultatai!$D$2:$D$500,"Papildomi (R+)"),0.15*(SUMIFS(Rezultatai!$J$2:$J$500,Rezultatai!$B$2:$B$500,$K6,Rezultatai!$A$2:$A$500,(Reitingai!$C$2-1),Rezultatai!$D$2:$D$500,"&lt;&gt;Papildomi (R+)"))))*MIN(550,450+(1/35)*(SUMIFS(Parametrai!$B$2:$B$40,Parametrai!$A$2:$A$40,(Reitingai!$C$2-1))-2500)))-MIN((SUMIFS(Rezultatai!$J$2:$J$500,Rezultatai!$B$2:$B$500,$K6,Rezultatai!$A$2:$A$500,((Reitingai!$C$2-1)-2),Rezultatai!$D$2:$D$500,"&lt;&gt;Papildomi (R+)")+MIN(SUMIFS(Rezultatai!$J$2:$J$500,Rezultatai!$B$2:$B$500,$K6,Rezultatai!$A$2:$A$500,((Reitingai!$C$2-1)-2),Rezultatai!$D$2:$D$500,"Papildomi (R+)"),0.15*(SUMIFS(Rezultatai!$J$2:$J$500,Rezultatai!$B$2:$B$500,$K6,Rezultatai!$A$2:$A$500,((Reitingai!$C$2-1)-2),Rezultatai!$D$2:$D$500,"&lt;&gt;Papildomi (R+)"))))*MIN(425,375+(1/70)*(SUMIFS(Parametrai!$B$2:$B$40,Parametrai!$A$2:$A$40,((Reitingai!$C$2-1)-2))-2500)),(SUMIFS(Rezultatai!$J$2:$J$500,Rezultatai!$B$2:$B$500,$K6,Rezultatai!$A$2:$A$500,((Reitingai!$C$2-1)-1),Rezultatai!$D$2:$D$500,"&lt;&gt;Papildomi (R+)")+MIN(SUMIFS(Rezultatai!$J$2:$J$500,Rezultatai!$B$2:$B$500,$K6,Rezultatai!$A$2:$A$500,((Reitingai!$C$2-1)-1),Rezultatai!$D$2:$D$500,"Papildomi (R+)"),0.15*(SUMIFS(Rezultatai!$J$2:$J$500,Rezultatai!$B$2:$B$500,$K6,Rezultatai!$A$2:$A$500,((Reitingai!$C$2-1)-1),Rezultatai!$D$2:$D$500,"&lt;&gt;Papildomi (R+)"))))*MIN(450,400+(1/70)*(SUMIFS(Parametrai!$B$2:$B$40,Parametrai!$A$2:$A$40,((Reitingai!$C$2-1)-1))-2500)),(SUMIFS(Rezultatai!$J$2:$J$500,Rezultatai!$B$2:$B$500,$K6,Rezultatai!$A$2:$A$500,(Reitingai!$C$2-1),Rezultatai!$D$2:$D$500,"&lt;&gt;Papildomi (R+)")+MIN(SUMIFS(Rezultatai!$J$2:$J$500,Rezultatai!$B$2:$B$500,$K6,Rezultatai!$A$2:$A$500,(Reitingai!$C$2-1),Rezultatai!$D$2:$D$500,"Papildomi (R+)"),0.15*(SUMIFS(Rezultatai!$J$2:$J$500,Rezultatai!$B$2:$B$500,$K6,Rezultatai!$A$2:$A$500,(Reitingai!$C$2-1),Rezultatai!$D$2:$D$500,"&lt;&gt;Papildomi (R+)"))))*MIN(550,450+(1/35)*(SUMIFS(Parametrai!$B$2:$B$40,Parametrai!$A$2:$A$40,(Reitingai!$C$2-1))-2500))))</f>
        <v>948.28712499999995</v>
      </c>
      <c r="O6" s="17">
        <f t="shared" ref="O6:O37" si="8">IF($K6="","",RANK($M6,$M$6:$M$105,0))</f>
        <v>5</v>
      </c>
      <c r="P6" s="17">
        <f t="shared" ref="P6:P37" si="9">IF($K6="","",RANK($N6,$N$6:$N$105,0))</f>
        <v>1</v>
      </c>
      <c r="Q6" s="17">
        <f>IF($K6="","",$O6+COUNTIF($O$6:$O6,$O6)-1)</f>
        <v>5</v>
      </c>
    </row>
    <row r="7" spans="1:17" ht="15" customHeight="1" x14ac:dyDescent="0.3">
      <c r="A7" s="13">
        <f>IFERROR(MATCH(2,$Q$6:$Q$105,0),"")</f>
        <v>5</v>
      </c>
      <c r="B7" s="13" t="str">
        <f t="shared" si="0"/>
        <v>Joris Vainius</v>
      </c>
      <c r="C7" s="13" t="str">
        <f t="shared" si="1"/>
        <v>Vilniaus Aeroklubas</v>
      </c>
      <c r="D7" s="13">
        <f t="shared" si="2"/>
        <v>2</v>
      </c>
      <c r="E7" s="16">
        <f t="shared" si="3"/>
        <v>5</v>
      </c>
      <c r="F7" s="30">
        <f t="shared" si="4"/>
        <v>3</v>
      </c>
      <c r="G7" s="14">
        <f t="shared" si="5"/>
        <v>907.28730322294587</v>
      </c>
      <c r="H7" s="14">
        <f t="shared" si="6"/>
        <v>883.28335585032323</v>
      </c>
      <c r="I7" s="31">
        <f t="shared" si="7"/>
        <v>24.003947372622633</v>
      </c>
      <c r="K7" s="17" t="str">
        <f>IF(Pilotai!B3="","",Pilotai!B3)</f>
        <v>Linas Miežlaiškis</v>
      </c>
      <c r="L7" s="17" t="str">
        <f>IF($K7="","",Pilotai!C3)</f>
        <v>Kauno AASK</v>
      </c>
      <c r="M7" s="18">
        <f>IF($K7="","",IFERROR(INDEX(Reitingai!$G$6:$G$105,MATCH($K7,Reitingai!$B$6:$B$105,0)),0))</f>
        <v>978.72724999999991</v>
      </c>
      <c r="N7" s="18">
        <f>IF($K7="","",SUM((SUMIFS(Rezultatai!$J$2:$J$500,Rezultatai!$B$2:$B$500,$K7,Rezultatai!$A$2:$A$500,((Reitingai!$C$2-1)-2),Rezultatai!$D$2:$D$500,"&lt;&gt;Papildomi (R+)")+MIN(SUMIFS(Rezultatai!$J$2:$J$500,Rezultatai!$B$2:$B$500,$K7,Rezultatai!$A$2:$A$500,((Reitingai!$C$2-1)-2),Rezultatai!$D$2:$D$500,"Papildomi (R+)"),0.15*(SUMIFS(Rezultatai!$J$2:$J$500,Rezultatai!$B$2:$B$500,$K7,Rezultatai!$A$2:$A$500,((Reitingai!$C$2-1)-2),Rezultatai!$D$2:$D$500,"&lt;&gt;Papildomi (R+)"))))*MIN(425,375+(1/70)*(SUMIFS(Parametrai!$B$2:$B$40,Parametrai!$A$2:$A$40,((Reitingai!$C$2-1)-2))-2500)),(SUMIFS(Rezultatai!$J$2:$J$500,Rezultatai!$B$2:$B$500,$K7,Rezultatai!$A$2:$A$500,((Reitingai!$C$2-1)-1),Rezultatai!$D$2:$D$500,"&lt;&gt;Papildomi (R+)")+MIN(SUMIFS(Rezultatai!$J$2:$J$500,Rezultatai!$B$2:$B$500,$K7,Rezultatai!$A$2:$A$500,((Reitingai!$C$2-1)-1),Rezultatai!$D$2:$D$500,"Papildomi (R+)"),0.15*(SUMIFS(Rezultatai!$J$2:$J$500,Rezultatai!$B$2:$B$500,$K7,Rezultatai!$A$2:$A$500,((Reitingai!$C$2-1)-1),Rezultatai!$D$2:$D$500,"&lt;&gt;Papildomi (R+)"))))*MIN(450,400+(1/70)*(SUMIFS(Parametrai!$B$2:$B$40,Parametrai!$A$2:$A$40,((Reitingai!$C$2-1)-1))-2500)),(SUMIFS(Rezultatai!$J$2:$J$500,Rezultatai!$B$2:$B$500,$K7,Rezultatai!$A$2:$A$500,(Reitingai!$C$2-1),Rezultatai!$D$2:$D$500,"&lt;&gt;Papildomi (R+)")+MIN(SUMIFS(Rezultatai!$J$2:$J$500,Rezultatai!$B$2:$B$500,$K7,Rezultatai!$A$2:$A$500,(Reitingai!$C$2-1),Rezultatai!$D$2:$D$500,"Papildomi (R+)"),0.15*(SUMIFS(Rezultatai!$J$2:$J$500,Rezultatai!$B$2:$B$500,$K7,Rezultatai!$A$2:$A$500,(Reitingai!$C$2-1),Rezultatai!$D$2:$D$500,"&lt;&gt;Papildomi (R+)"))))*MIN(550,450+(1/35)*(SUMIFS(Parametrai!$B$2:$B$40,Parametrai!$A$2:$A$40,(Reitingai!$C$2-1))-2500)))-MIN((SUMIFS(Rezultatai!$J$2:$J$500,Rezultatai!$B$2:$B$500,$K7,Rezultatai!$A$2:$A$500,((Reitingai!$C$2-1)-2),Rezultatai!$D$2:$D$500,"&lt;&gt;Papildomi (R+)")+MIN(SUMIFS(Rezultatai!$J$2:$J$500,Rezultatai!$B$2:$B$500,$K7,Rezultatai!$A$2:$A$500,((Reitingai!$C$2-1)-2),Rezultatai!$D$2:$D$500,"Papildomi (R+)"),0.15*(SUMIFS(Rezultatai!$J$2:$J$500,Rezultatai!$B$2:$B$500,$K7,Rezultatai!$A$2:$A$500,((Reitingai!$C$2-1)-2),Rezultatai!$D$2:$D$500,"&lt;&gt;Papildomi (R+)"))))*MIN(425,375+(1/70)*(SUMIFS(Parametrai!$B$2:$B$40,Parametrai!$A$2:$A$40,((Reitingai!$C$2-1)-2))-2500)),(SUMIFS(Rezultatai!$J$2:$J$500,Rezultatai!$B$2:$B$500,$K7,Rezultatai!$A$2:$A$500,((Reitingai!$C$2-1)-1),Rezultatai!$D$2:$D$500,"&lt;&gt;Papildomi (R+)")+MIN(SUMIFS(Rezultatai!$J$2:$J$500,Rezultatai!$B$2:$B$500,$K7,Rezultatai!$A$2:$A$500,((Reitingai!$C$2-1)-1),Rezultatai!$D$2:$D$500,"Papildomi (R+)"),0.15*(SUMIFS(Rezultatai!$J$2:$J$500,Rezultatai!$B$2:$B$500,$K7,Rezultatai!$A$2:$A$500,((Reitingai!$C$2-1)-1),Rezultatai!$D$2:$D$500,"&lt;&gt;Papildomi (R+)"))))*MIN(450,400+(1/70)*(SUMIFS(Parametrai!$B$2:$B$40,Parametrai!$A$2:$A$40,((Reitingai!$C$2-1)-1))-2500)),(SUMIFS(Rezultatai!$J$2:$J$500,Rezultatai!$B$2:$B$500,$K7,Rezultatai!$A$2:$A$500,(Reitingai!$C$2-1),Rezultatai!$D$2:$D$500,"&lt;&gt;Papildomi (R+)")+MIN(SUMIFS(Rezultatai!$J$2:$J$500,Rezultatai!$B$2:$B$500,$K7,Rezultatai!$A$2:$A$500,(Reitingai!$C$2-1),Rezultatai!$D$2:$D$500,"Papildomi (R+)"),0.15*(SUMIFS(Rezultatai!$J$2:$J$500,Rezultatai!$B$2:$B$500,$K7,Rezultatai!$A$2:$A$500,(Reitingai!$C$2-1),Rezultatai!$D$2:$D$500,"&lt;&gt;Papildomi (R+)"))))*MIN(550,450+(1/35)*(SUMIFS(Parametrai!$B$2:$B$40,Parametrai!$A$2:$A$40,(Reitingai!$C$2-1))-2500))))</f>
        <v>932.0981234693877</v>
      </c>
      <c r="O7" s="17">
        <f t="shared" si="8"/>
        <v>1</v>
      </c>
      <c r="P7" s="17">
        <f t="shared" si="9"/>
        <v>2</v>
      </c>
      <c r="Q7" s="17">
        <f>IF($K7="","",$O7+COUNTIF($O$6:$O7,$O7)-1)</f>
        <v>1</v>
      </c>
    </row>
    <row r="8" spans="1:17" ht="15" customHeight="1" x14ac:dyDescent="0.3">
      <c r="A8" s="13">
        <f>IFERROR(MATCH(3,$Q$6:$Q$105,0),"")</f>
        <v>4</v>
      </c>
      <c r="B8" s="13" t="str">
        <f t="shared" si="0"/>
        <v>Adomas Grabskis</v>
      </c>
      <c r="C8" s="13" t="str">
        <f t="shared" si="1"/>
        <v>Vilniaus Aeroklubas</v>
      </c>
      <c r="D8" s="13">
        <f t="shared" si="2"/>
        <v>3</v>
      </c>
      <c r="E8" s="16">
        <f t="shared" si="3"/>
        <v>4</v>
      </c>
      <c r="F8" s="30">
        <f t="shared" si="4"/>
        <v>1</v>
      </c>
      <c r="G8" s="14">
        <f t="shared" si="5"/>
        <v>890.76239041142298</v>
      </c>
      <c r="H8" s="14">
        <f t="shared" si="6"/>
        <v>887.52493367878355</v>
      </c>
      <c r="I8" s="31">
        <f t="shared" si="7"/>
        <v>3.2374567326394299</v>
      </c>
      <c r="K8" s="17" t="str">
        <f>IF(Pilotai!B4="","",Pilotai!B4)</f>
        <v>Gvidas Sabeckis</v>
      </c>
      <c r="L8" s="17" t="str">
        <f>IF($K8="","",Pilotai!C4)</f>
        <v>Aeroklubas Vertikalė</v>
      </c>
      <c r="M8" s="18">
        <f>IF($K8="","",IFERROR(INDEX(Reitingai!$G$6:$G$105,MATCH($K8,Reitingai!$B$6:$B$105,0)),0))</f>
        <v>829.65498857106081</v>
      </c>
      <c r="N8" s="18">
        <f>IF($K8="","",SUM((SUMIFS(Rezultatai!$J$2:$J$500,Rezultatai!$B$2:$B$500,$K8,Rezultatai!$A$2:$A$500,((Reitingai!$C$2-1)-2),Rezultatai!$D$2:$D$500,"&lt;&gt;Papildomi (R+)")+MIN(SUMIFS(Rezultatai!$J$2:$J$500,Rezultatai!$B$2:$B$500,$K8,Rezultatai!$A$2:$A$500,((Reitingai!$C$2-1)-2),Rezultatai!$D$2:$D$500,"Papildomi (R+)"),0.15*(SUMIFS(Rezultatai!$J$2:$J$500,Rezultatai!$B$2:$B$500,$K8,Rezultatai!$A$2:$A$500,((Reitingai!$C$2-1)-2),Rezultatai!$D$2:$D$500,"&lt;&gt;Papildomi (R+)"))))*MIN(425,375+(1/70)*(SUMIFS(Parametrai!$B$2:$B$40,Parametrai!$A$2:$A$40,((Reitingai!$C$2-1)-2))-2500)),(SUMIFS(Rezultatai!$J$2:$J$500,Rezultatai!$B$2:$B$500,$K8,Rezultatai!$A$2:$A$500,((Reitingai!$C$2-1)-1),Rezultatai!$D$2:$D$500,"&lt;&gt;Papildomi (R+)")+MIN(SUMIFS(Rezultatai!$J$2:$J$500,Rezultatai!$B$2:$B$500,$K8,Rezultatai!$A$2:$A$500,((Reitingai!$C$2-1)-1),Rezultatai!$D$2:$D$500,"Papildomi (R+)"),0.15*(SUMIFS(Rezultatai!$J$2:$J$500,Rezultatai!$B$2:$B$500,$K8,Rezultatai!$A$2:$A$500,((Reitingai!$C$2-1)-1),Rezultatai!$D$2:$D$500,"&lt;&gt;Papildomi (R+)"))))*MIN(450,400+(1/70)*(SUMIFS(Parametrai!$B$2:$B$40,Parametrai!$A$2:$A$40,((Reitingai!$C$2-1)-1))-2500)),(SUMIFS(Rezultatai!$J$2:$J$500,Rezultatai!$B$2:$B$500,$K8,Rezultatai!$A$2:$A$500,(Reitingai!$C$2-1),Rezultatai!$D$2:$D$500,"&lt;&gt;Papildomi (R+)")+MIN(SUMIFS(Rezultatai!$J$2:$J$500,Rezultatai!$B$2:$B$500,$K8,Rezultatai!$A$2:$A$500,(Reitingai!$C$2-1),Rezultatai!$D$2:$D$500,"Papildomi (R+)"),0.15*(SUMIFS(Rezultatai!$J$2:$J$500,Rezultatai!$B$2:$B$500,$K8,Rezultatai!$A$2:$A$500,(Reitingai!$C$2-1),Rezultatai!$D$2:$D$500,"&lt;&gt;Papildomi (R+)"))))*MIN(550,450+(1/35)*(SUMIFS(Parametrai!$B$2:$B$40,Parametrai!$A$2:$A$40,(Reitingai!$C$2-1))-2500)))-MIN((SUMIFS(Rezultatai!$J$2:$J$500,Rezultatai!$B$2:$B$500,$K8,Rezultatai!$A$2:$A$500,((Reitingai!$C$2-1)-2),Rezultatai!$D$2:$D$500,"&lt;&gt;Papildomi (R+)")+MIN(SUMIFS(Rezultatai!$J$2:$J$500,Rezultatai!$B$2:$B$500,$K8,Rezultatai!$A$2:$A$500,((Reitingai!$C$2-1)-2),Rezultatai!$D$2:$D$500,"Papildomi (R+)"),0.15*(SUMIFS(Rezultatai!$J$2:$J$500,Rezultatai!$B$2:$B$500,$K8,Rezultatai!$A$2:$A$500,((Reitingai!$C$2-1)-2),Rezultatai!$D$2:$D$500,"&lt;&gt;Papildomi (R+)"))))*MIN(425,375+(1/70)*(SUMIFS(Parametrai!$B$2:$B$40,Parametrai!$A$2:$A$40,((Reitingai!$C$2-1)-2))-2500)),(SUMIFS(Rezultatai!$J$2:$J$500,Rezultatai!$B$2:$B$500,$K8,Rezultatai!$A$2:$A$500,((Reitingai!$C$2-1)-1),Rezultatai!$D$2:$D$500,"&lt;&gt;Papildomi (R+)")+MIN(SUMIFS(Rezultatai!$J$2:$J$500,Rezultatai!$B$2:$B$500,$K8,Rezultatai!$A$2:$A$500,((Reitingai!$C$2-1)-1),Rezultatai!$D$2:$D$500,"Papildomi (R+)"),0.15*(SUMIFS(Rezultatai!$J$2:$J$500,Rezultatai!$B$2:$B$500,$K8,Rezultatai!$A$2:$A$500,((Reitingai!$C$2-1)-1),Rezultatai!$D$2:$D$500,"&lt;&gt;Papildomi (R+)"))))*MIN(450,400+(1/70)*(SUMIFS(Parametrai!$B$2:$B$40,Parametrai!$A$2:$A$40,((Reitingai!$C$2-1)-1))-2500)),(SUMIFS(Rezultatai!$J$2:$J$500,Rezultatai!$B$2:$B$500,$K8,Rezultatai!$A$2:$A$500,(Reitingai!$C$2-1),Rezultatai!$D$2:$D$500,"&lt;&gt;Papildomi (R+)")+MIN(SUMIFS(Rezultatai!$J$2:$J$500,Rezultatai!$B$2:$B$500,$K8,Rezultatai!$A$2:$A$500,(Reitingai!$C$2-1),Rezultatai!$D$2:$D$500,"Papildomi (R+)"),0.15*(SUMIFS(Rezultatai!$J$2:$J$500,Rezultatai!$B$2:$B$500,$K8,Rezultatai!$A$2:$A$500,(Reitingai!$C$2-1),Rezultatai!$D$2:$D$500,"&lt;&gt;Papildomi (R+)"))))*MIN(550,450+(1/35)*(SUMIFS(Parametrai!$B$2:$B$40,Parametrai!$A$2:$A$40,(Reitingai!$C$2-1))-2500))))</f>
        <v>928.19647510382185</v>
      </c>
      <c r="O8" s="17">
        <f t="shared" si="8"/>
        <v>7</v>
      </c>
      <c r="P8" s="17">
        <f t="shared" si="9"/>
        <v>3</v>
      </c>
      <c r="Q8" s="17">
        <f>IF($K8="","",$O8+COUNTIF($O$6:$O8,$O8)-1)</f>
        <v>7</v>
      </c>
    </row>
    <row r="9" spans="1:17" ht="15" customHeight="1" x14ac:dyDescent="0.3">
      <c r="A9" s="13">
        <f>IFERROR(MATCH(4,$Q$6:$Q$105,0),"")</f>
        <v>8</v>
      </c>
      <c r="B9" s="13" t="str">
        <f t="shared" si="0"/>
        <v>Vytautas Rasimavičius</v>
      </c>
      <c r="C9" s="13" t="str">
        <f t="shared" si="1"/>
        <v>Kauno AASK</v>
      </c>
      <c r="D9" s="13">
        <f t="shared" si="2"/>
        <v>4</v>
      </c>
      <c r="E9" s="16">
        <f t="shared" si="3"/>
        <v>8</v>
      </c>
      <c r="F9" s="30">
        <f t="shared" si="4"/>
        <v>4</v>
      </c>
      <c r="G9" s="14">
        <f t="shared" si="5"/>
        <v>879.58052397246911</v>
      </c>
      <c r="H9" s="14">
        <f t="shared" si="6"/>
        <v>817.2291996087863</v>
      </c>
      <c r="I9" s="31">
        <f t="shared" si="7"/>
        <v>62.351324363682807</v>
      </c>
      <c r="K9" s="17" t="str">
        <f>IF(Pilotai!B5="","",Pilotai!B5)</f>
        <v>Adomas Grabskis</v>
      </c>
      <c r="L9" s="17" t="str">
        <f>IF($K9="","",Pilotai!C5)</f>
        <v>Vilniaus Aeroklubas</v>
      </c>
      <c r="M9" s="18">
        <f>IF($K9="","",IFERROR(INDEX(Reitingai!$G$6:$G$105,MATCH($K9,Reitingai!$B$6:$B$105,0)),0))</f>
        <v>890.76239041142298</v>
      </c>
      <c r="N9" s="18">
        <f>IF($K9="","",SUM((SUMIFS(Rezultatai!$J$2:$J$500,Rezultatai!$B$2:$B$500,$K9,Rezultatai!$A$2:$A$500,((Reitingai!$C$2-1)-2),Rezultatai!$D$2:$D$500,"&lt;&gt;Papildomi (R+)")+MIN(SUMIFS(Rezultatai!$J$2:$J$500,Rezultatai!$B$2:$B$500,$K9,Rezultatai!$A$2:$A$500,((Reitingai!$C$2-1)-2),Rezultatai!$D$2:$D$500,"Papildomi (R+)"),0.15*(SUMIFS(Rezultatai!$J$2:$J$500,Rezultatai!$B$2:$B$500,$K9,Rezultatai!$A$2:$A$500,((Reitingai!$C$2-1)-2),Rezultatai!$D$2:$D$500,"&lt;&gt;Papildomi (R+)"))))*MIN(425,375+(1/70)*(SUMIFS(Parametrai!$B$2:$B$40,Parametrai!$A$2:$A$40,((Reitingai!$C$2-1)-2))-2500)),(SUMIFS(Rezultatai!$J$2:$J$500,Rezultatai!$B$2:$B$500,$K9,Rezultatai!$A$2:$A$500,((Reitingai!$C$2-1)-1),Rezultatai!$D$2:$D$500,"&lt;&gt;Papildomi (R+)")+MIN(SUMIFS(Rezultatai!$J$2:$J$500,Rezultatai!$B$2:$B$500,$K9,Rezultatai!$A$2:$A$500,((Reitingai!$C$2-1)-1),Rezultatai!$D$2:$D$500,"Papildomi (R+)"),0.15*(SUMIFS(Rezultatai!$J$2:$J$500,Rezultatai!$B$2:$B$500,$K9,Rezultatai!$A$2:$A$500,((Reitingai!$C$2-1)-1),Rezultatai!$D$2:$D$500,"&lt;&gt;Papildomi (R+)"))))*MIN(450,400+(1/70)*(SUMIFS(Parametrai!$B$2:$B$40,Parametrai!$A$2:$A$40,((Reitingai!$C$2-1)-1))-2500)),(SUMIFS(Rezultatai!$J$2:$J$500,Rezultatai!$B$2:$B$500,$K9,Rezultatai!$A$2:$A$500,(Reitingai!$C$2-1),Rezultatai!$D$2:$D$500,"&lt;&gt;Papildomi (R+)")+MIN(SUMIFS(Rezultatai!$J$2:$J$500,Rezultatai!$B$2:$B$500,$K9,Rezultatai!$A$2:$A$500,(Reitingai!$C$2-1),Rezultatai!$D$2:$D$500,"Papildomi (R+)"),0.15*(SUMIFS(Rezultatai!$J$2:$J$500,Rezultatai!$B$2:$B$500,$K9,Rezultatai!$A$2:$A$500,(Reitingai!$C$2-1),Rezultatai!$D$2:$D$500,"&lt;&gt;Papildomi (R+)"))))*MIN(550,450+(1/35)*(SUMIFS(Parametrai!$B$2:$B$40,Parametrai!$A$2:$A$40,(Reitingai!$C$2-1))-2500)))-MIN((SUMIFS(Rezultatai!$J$2:$J$500,Rezultatai!$B$2:$B$500,$K9,Rezultatai!$A$2:$A$500,((Reitingai!$C$2-1)-2),Rezultatai!$D$2:$D$500,"&lt;&gt;Papildomi (R+)")+MIN(SUMIFS(Rezultatai!$J$2:$J$500,Rezultatai!$B$2:$B$500,$K9,Rezultatai!$A$2:$A$500,((Reitingai!$C$2-1)-2),Rezultatai!$D$2:$D$500,"Papildomi (R+)"),0.15*(SUMIFS(Rezultatai!$J$2:$J$500,Rezultatai!$B$2:$B$500,$K9,Rezultatai!$A$2:$A$500,((Reitingai!$C$2-1)-2),Rezultatai!$D$2:$D$500,"&lt;&gt;Papildomi (R+)"))))*MIN(425,375+(1/70)*(SUMIFS(Parametrai!$B$2:$B$40,Parametrai!$A$2:$A$40,((Reitingai!$C$2-1)-2))-2500)),(SUMIFS(Rezultatai!$J$2:$J$500,Rezultatai!$B$2:$B$500,$K9,Rezultatai!$A$2:$A$500,((Reitingai!$C$2-1)-1),Rezultatai!$D$2:$D$500,"&lt;&gt;Papildomi (R+)")+MIN(SUMIFS(Rezultatai!$J$2:$J$500,Rezultatai!$B$2:$B$500,$K9,Rezultatai!$A$2:$A$500,((Reitingai!$C$2-1)-1),Rezultatai!$D$2:$D$500,"Papildomi (R+)"),0.15*(SUMIFS(Rezultatai!$J$2:$J$500,Rezultatai!$B$2:$B$500,$K9,Rezultatai!$A$2:$A$500,((Reitingai!$C$2-1)-1),Rezultatai!$D$2:$D$500,"&lt;&gt;Papildomi (R+)"))))*MIN(450,400+(1/70)*(SUMIFS(Parametrai!$B$2:$B$40,Parametrai!$A$2:$A$40,((Reitingai!$C$2-1)-1))-2500)),(SUMIFS(Rezultatai!$J$2:$J$500,Rezultatai!$B$2:$B$500,$K9,Rezultatai!$A$2:$A$500,(Reitingai!$C$2-1),Rezultatai!$D$2:$D$500,"&lt;&gt;Papildomi (R+)")+MIN(SUMIFS(Rezultatai!$J$2:$J$500,Rezultatai!$B$2:$B$500,$K9,Rezultatai!$A$2:$A$500,(Reitingai!$C$2-1),Rezultatai!$D$2:$D$500,"Papildomi (R+)"),0.15*(SUMIFS(Rezultatai!$J$2:$J$500,Rezultatai!$B$2:$B$500,$K9,Rezultatai!$A$2:$A$500,(Reitingai!$C$2-1),Rezultatai!$D$2:$D$500,"&lt;&gt;Papildomi (R+)"))))*MIN(550,450+(1/35)*(SUMIFS(Parametrai!$B$2:$B$40,Parametrai!$A$2:$A$40,(Reitingai!$C$2-1))-2500))))</f>
        <v>887.52493367878355</v>
      </c>
      <c r="O9" s="17">
        <f t="shared" si="8"/>
        <v>3</v>
      </c>
      <c r="P9" s="17">
        <f t="shared" si="9"/>
        <v>4</v>
      </c>
      <c r="Q9" s="17">
        <f>IF($K9="","",$O9+COUNTIF($O$6:$O9,$O9)-1)</f>
        <v>3</v>
      </c>
    </row>
    <row r="10" spans="1:17" ht="15" customHeight="1" x14ac:dyDescent="0.3">
      <c r="A10" s="13">
        <f>IFERROR(MATCH(5,$Q$6:$Q$105,0),"")</f>
        <v>1</v>
      </c>
      <c r="B10" s="13" t="str">
        <f t="shared" si="0"/>
        <v>Marius Pluščauskas</v>
      </c>
      <c r="C10" s="13" t="str">
        <f t="shared" si="1"/>
        <v>Vilniaus Aeroklubas</v>
      </c>
      <c r="D10" s="13">
        <f t="shared" si="2"/>
        <v>5</v>
      </c>
      <c r="E10" s="16">
        <f t="shared" si="3"/>
        <v>1</v>
      </c>
      <c r="F10" s="30">
        <f t="shared" si="4"/>
        <v>-4</v>
      </c>
      <c r="G10" s="14">
        <f t="shared" si="5"/>
        <v>851.46321696742143</v>
      </c>
      <c r="H10" s="14">
        <f t="shared" si="6"/>
        <v>948.28712499999995</v>
      </c>
      <c r="I10" s="31">
        <f t="shared" si="7"/>
        <v>-96.823908032578515</v>
      </c>
      <c r="K10" s="17" t="str">
        <f>IF(Pilotai!B6="","",Pilotai!B6)</f>
        <v>Joris Vainius</v>
      </c>
      <c r="L10" s="17" t="str">
        <f>IF($K10="","",Pilotai!C6)</f>
        <v>Vilniaus Aeroklubas</v>
      </c>
      <c r="M10" s="18">
        <f>IF($K10="","",IFERROR(INDEX(Reitingai!$G$6:$G$105,MATCH($K10,Reitingai!$B$6:$B$105,0)),0))</f>
        <v>907.28730322294587</v>
      </c>
      <c r="N10" s="18">
        <f>IF($K10="","",SUM((SUMIFS(Rezultatai!$J$2:$J$500,Rezultatai!$B$2:$B$500,$K10,Rezultatai!$A$2:$A$500,((Reitingai!$C$2-1)-2),Rezultatai!$D$2:$D$500,"&lt;&gt;Papildomi (R+)")+MIN(SUMIFS(Rezultatai!$J$2:$J$500,Rezultatai!$B$2:$B$500,$K10,Rezultatai!$A$2:$A$500,((Reitingai!$C$2-1)-2),Rezultatai!$D$2:$D$500,"Papildomi (R+)"),0.15*(SUMIFS(Rezultatai!$J$2:$J$500,Rezultatai!$B$2:$B$500,$K10,Rezultatai!$A$2:$A$500,((Reitingai!$C$2-1)-2),Rezultatai!$D$2:$D$500,"&lt;&gt;Papildomi (R+)"))))*MIN(425,375+(1/70)*(SUMIFS(Parametrai!$B$2:$B$40,Parametrai!$A$2:$A$40,((Reitingai!$C$2-1)-2))-2500)),(SUMIFS(Rezultatai!$J$2:$J$500,Rezultatai!$B$2:$B$500,$K10,Rezultatai!$A$2:$A$500,((Reitingai!$C$2-1)-1),Rezultatai!$D$2:$D$500,"&lt;&gt;Papildomi (R+)")+MIN(SUMIFS(Rezultatai!$J$2:$J$500,Rezultatai!$B$2:$B$500,$K10,Rezultatai!$A$2:$A$500,((Reitingai!$C$2-1)-1),Rezultatai!$D$2:$D$500,"Papildomi (R+)"),0.15*(SUMIFS(Rezultatai!$J$2:$J$500,Rezultatai!$B$2:$B$500,$K10,Rezultatai!$A$2:$A$500,((Reitingai!$C$2-1)-1),Rezultatai!$D$2:$D$500,"&lt;&gt;Papildomi (R+)"))))*MIN(450,400+(1/70)*(SUMIFS(Parametrai!$B$2:$B$40,Parametrai!$A$2:$A$40,((Reitingai!$C$2-1)-1))-2500)),(SUMIFS(Rezultatai!$J$2:$J$500,Rezultatai!$B$2:$B$500,$K10,Rezultatai!$A$2:$A$500,(Reitingai!$C$2-1),Rezultatai!$D$2:$D$500,"&lt;&gt;Papildomi (R+)")+MIN(SUMIFS(Rezultatai!$J$2:$J$500,Rezultatai!$B$2:$B$500,$K10,Rezultatai!$A$2:$A$500,(Reitingai!$C$2-1),Rezultatai!$D$2:$D$500,"Papildomi (R+)"),0.15*(SUMIFS(Rezultatai!$J$2:$J$500,Rezultatai!$B$2:$B$500,$K10,Rezultatai!$A$2:$A$500,(Reitingai!$C$2-1),Rezultatai!$D$2:$D$500,"&lt;&gt;Papildomi (R+)"))))*MIN(550,450+(1/35)*(SUMIFS(Parametrai!$B$2:$B$40,Parametrai!$A$2:$A$40,(Reitingai!$C$2-1))-2500)))-MIN((SUMIFS(Rezultatai!$J$2:$J$500,Rezultatai!$B$2:$B$500,$K10,Rezultatai!$A$2:$A$500,((Reitingai!$C$2-1)-2),Rezultatai!$D$2:$D$500,"&lt;&gt;Papildomi (R+)")+MIN(SUMIFS(Rezultatai!$J$2:$J$500,Rezultatai!$B$2:$B$500,$K10,Rezultatai!$A$2:$A$500,((Reitingai!$C$2-1)-2),Rezultatai!$D$2:$D$500,"Papildomi (R+)"),0.15*(SUMIFS(Rezultatai!$J$2:$J$500,Rezultatai!$B$2:$B$500,$K10,Rezultatai!$A$2:$A$500,((Reitingai!$C$2-1)-2),Rezultatai!$D$2:$D$500,"&lt;&gt;Papildomi (R+)"))))*MIN(425,375+(1/70)*(SUMIFS(Parametrai!$B$2:$B$40,Parametrai!$A$2:$A$40,((Reitingai!$C$2-1)-2))-2500)),(SUMIFS(Rezultatai!$J$2:$J$500,Rezultatai!$B$2:$B$500,$K10,Rezultatai!$A$2:$A$500,((Reitingai!$C$2-1)-1),Rezultatai!$D$2:$D$500,"&lt;&gt;Papildomi (R+)")+MIN(SUMIFS(Rezultatai!$J$2:$J$500,Rezultatai!$B$2:$B$500,$K10,Rezultatai!$A$2:$A$500,((Reitingai!$C$2-1)-1),Rezultatai!$D$2:$D$500,"Papildomi (R+)"),0.15*(SUMIFS(Rezultatai!$J$2:$J$500,Rezultatai!$B$2:$B$500,$K10,Rezultatai!$A$2:$A$500,((Reitingai!$C$2-1)-1),Rezultatai!$D$2:$D$500,"&lt;&gt;Papildomi (R+)"))))*MIN(450,400+(1/70)*(SUMIFS(Parametrai!$B$2:$B$40,Parametrai!$A$2:$A$40,((Reitingai!$C$2-1)-1))-2500)),(SUMIFS(Rezultatai!$J$2:$J$500,Rezultatai!$B$2:$B$500,$K10,Rezultatai!$A$2:$A$500,(Reitingai!$C$2-1),Rezultatai!$D$2:$D$500,"&lt;&gt;Papildomi (R+)")+MIN(SUMIFS(Rezultatai!$J$2:$J$500,Rezultatai!$B$2:$B$500,$K10,Rezultatai!$A$2:$A$500,(Reitingai!$C$2-1),Rezultatai!$D$2:$D$500,"Papildomi (R+)"),0.15*(SUMIFS(Rezultatai!$J$2:$J$500,Rezultatai!$B$2:$B$500,$K10,Rezultatai!$A$2:$A$500,(Reitingai!$C$2-1),Rezultatai!$D$2:$D$500,"&lt;&gt;Papildomi (R+)"))))*MIN(550,450+(1/35)*(SUMIFS(Parametrai!$B$2:$B$40,Parametrai!$A$2:$A$40,(Reitingai!$C$2-1))-2500))))</f>
        <v>883.28335585032323</v>
      </c>
      <c r="O10" s="17">
        <f t="shared" si="8"/>
        <v>2</v>
      </c>
      <c r="P10" s="17">
        <f t="shared" si="9"/>
        <v>5</v>
      </c>
      <c r="Q10" s="17">
        <f>IF($K10="","",$O10+COUNTIF($O$6:$O10,$O10)-1)</f>
        <v>2</v>
      </c>
    </row>
    <row r="11" spans="1:17" ht="15" customHeight="1" x14ac:dyDescent="0.3">
      <c r="A11" s="13">
        <f>IFERROR(MATCH(6,$Q$6:$Q$105,0),"")</f>
        <v>12</v>
      </c>
      <c r="B11" s="13" t="str">
        <f t="shared" si="0"/>
        <v>Vladas Motūza</v>
      </c>
      <c r="C11" s="13" t="str">
        <f t="shared" si="1"/>
        <v>Kauno AASK</v>
      </c>
      <c r="D11" s="13">
        <f t="shared" si="2"/>
        <v>6</v>
      </c>
      <c r="E11" s="16">
        <f t="shared" si="3"/>
        <v>12</v>
      </c>
      <c r="F11" s="30">
        <f t="shared" si="4"/>
        <v>6</v>
      </c>
      <c r="G11" s="14">
        <f t="shared" si="5"/>
        <v>839.21479850789183</v>
      </c>
      <c r="H11" s="14">
        <f t="shared" si="6"/>
        <v>734.72487513305509</v>
      </c>
      <c r="I11" s="31">
        <f t="shared" si="7"/>
        <v>104.48992337483674</v>
      </c>
      <c r="K11" s="17" t="str">
        <f>IF(Pilotai!B7="","",Pilotai!B7)</f>
        <v>Karolis Mikalauskas</v>
      </c>
      <c r="L11" s="17" t="str">
        <f>IF($K11="","",Pilotai!C7)</f>
        <v>Vilniaus Aeroklubas</v>
      </c>
      <c r="M11" s="18">
        <f>IF($K11="","",IFERROR(INDEX(Reitingai!$G$6:$G$105,MATCH($K11,Reitingai!$B$6:$B$105,0)),0))</f>
        <v>420.87610743917872</v>
      </c>
      <c r="N11" s="18">
        <f>IF($K11="","",SUM((SUMIFS(Rezultatai!$J$2:$J$500,Rezultatai!$B$2:$B$500,$K11,Rezultatai!$A$2:$A$500,((Reitingai!$C$2-1)-2),Rezultatai!$D$2:$D$500,"&lt;&gt;Papildomi (R+)")+MIN(SUMIFS(Rezultatai!$J$2:$J$500,Rezultatai!$B$2:$B$500,$K11,Rezultatai!$A$2:$A$500,((Reitingai!$C$2-1)-2),Rezultatai!$D$2:$D$500,"Papildomi (R+)"),0.15*(SUMIFS(Rezultatai!$J$2:$J$500,Rezultatai!$B$2:$B$500,$K11,Rezultatai!$A$2:$A$500,((Reitingai!$C$2-1)-2),Rezultatai!$D$2:$D$500,"&lt;&gt;Papildomi (R+)"))))*MIN(425,375+(1/70)*(SUMIFS(Parametrai!$B$2:$B$40,Parametrai!$A$2:$A$40,((Reitingai!$C$2-1)-2))-2500)),(SUMIFS(Rezultatai!$J$2:$J$500,Rezultatai!$B$2:$B$500,$K11,Rezultatai!$A$2:$A$500,((Reitingai!$C$2-1)-1),Rezultatai!$D$2:$D$500,"&lt;&gt;Papildomi (R+)")+MIN(SUMIFS(Rezultatai!$J$2:$J$500,Rezultatai!$B$2:$B$500,$K11,Rezultatai!$A$2:$A$500,((Reitingai!$C$2-1)-1),Rezultatai!$D$2:$D$500,"Papildomi (R+)"),0.15*(SUMIFS(Rezultatai!$J$2:$J$500,Rezultatai!$B$2:$B$500,$K11,Rezultatai!$A$2:$A$500,((Reitingai!$C$2-1)-1),Rezultatai!$D$2:$D$500,"&lt;&gt;Papildomi (R+)"))))*MIN(450,400+(1/70)*(SUMIFS(Parametrai!$B$2:$B$40,Parametrai!$A$2:$A$40,((Reitingai!$C$2-1)-1))-2500)),(SUMIFS(Rezultatai!$J$2:$J$500,Rezultatai!$B$2:$B$500,$K11,Rezultatai!$A$2:$A$500,(Reitingai!$C$2-1),Rezultatai!$D$2:$D$500,"&lt;&gt;Papildomi (R+)")+MIN(SUMIFS(Rezultatai!$J$2:$J$500,Rezultatai!$B$2:$B$500,$K11,Rezultatai!$A$2:$A$500,(Reitingai!$C$2-1),Rezultatai!$D$2:$D$500,"Papildomi (R+)"),0.15*(SUMIFS(Rezultatai!$J$2:$J$500,Rezultatai!$B$2:$B$500,$K11,Rezultatai!$A$2:$A$500,(Reitingai!$C$2-1),Rezultatai!$D$2:$D$500,"&lt;&gt;Papildomi (R+)"))))*MIN(550,450+(1/35)*(SUMIFS(Parametrai!$B$2:$B$40,Parametrai!$A$2:$A$40,(Reitingai!$C$2-1))-2500)))-MIN((SUMIFS(Rezultatai!$J$2:$J$500,Rezultatai!$B$2:$B$500,$K11,Rezultatai!$A$2:$A$500,((Reitingai!$C$2-1)-2),Rezultatai!$D$2:$D$500,"&lt;&gt;Papildomi (R+)")+MIN(SUMIFS(Rezultatai!$J$2:$J$500,Rezultatai!$B$2:$B$500,$K11,Rezultatai!$A$2:$A$500,((Reitingai!$C$2-1)-2),Rezultatai!$D$2:$D$500,"Papildomi (R+)"),0.15*(SUMIFS(Rezultatai!$J$2:$J$500,Rezultatai!$B$2:$B$500,$K11,Rezultatai!$A$2:$A$500,((Reitingai!$C$2-1)-2),Rezultatai!$D$2:$D$500,"&lt;&gt;Papildomi (R+)"))))*MIN(425,375+(1/70)*(SUMIFS(Parametrai!$B$2:$B$40,Parametrai!$A$2:$A$40,((Reitingai!$C$2-1)-2))-2500)),(SUMIFS(Rezultatai!$J$2:$J$500,Rezultatai!$B$2:$B$500,$K11,Rezultatai!$A$2:$A$500,((Reitingai!$C$2-1)-1),Rezultatai!$D$2:$D$500,"&lt;&gt;Papildomi (R+)")+MIN(SUMIFS(Rezultatai!$J$2:$J$500,Rezultatai!$B$2:$B$500,$K11,Rezultatai!$A$2:$A$500,((Reitingai!$C$2-1)-1),Rezultatai!$D$2:$D$500,"Papildomi (R+)"),0.15*(SUMIFS(Rezultatai!$J$2:$J$500,Rezultatai!$B$2:$B$500,$K11,Rezultatai!$A$2:$A$500,((Reitingai!$C$2-1)-1),Rezultatai!$D$2:$D$500,"&lt;&gt;Papildomi (R+)"))))*MIN(450,400+(1/70)*(SUMIFS(Parametrai!$B$2:$B$40,Parametrai!$A$2:$A$40,((Reitingai!$C$2-1)-1))-2500)),(SUMIFS(Rezultatai!$J$2:$J$500,Rezultatai!$B$2:$B$500,$K11,Rezultatai!$A$2:$A$500,(Reitingai!$C$2-1),Rezultatai!$D$2:$D$500,"&lt;&gt;Papildomi (R+)")+MIN(SUMIFS(Rezultatai!$J$2:$J$500,Rezultatai!$B$2:$B$500,$K11,Rezultatai!$A$2:$A$500,(Reitingai!$C$2-1),Rezultatai!$D$2:$D$500,"Papildomi (R+)"),0.15*(SUMIFS(Rezultatai!$J$2:$J$500,Rezultatai!$B$2:$B$500,$K11,Rezultatai!$A$2:$A$500,(Reitingai!$C$2-1),Rezultatai!$D$2:$D$500,"&lt;&gt;Papildomi (R+)"))))*MIN(550,450+(1/35)*(SUMIFS(Parametrai!$B$2:$B$40,Parametrai!$A$2:$A$40,(Reitingai!$C$2-1))-2500))))</f>
        <v>862.83159315668661</v>
      </c>
      <c r="O11" s="17">
        <f t="shared" si="8"/>
        <v>17</v>
      </c>
      <c r="P11" s="17">
        <f t="shared" si="9"/>
        <v>6</v>
      </c>
      <c r="Q11" s="17">
        <f>IF($K11="","",$O11+COUNTIF($O$6:$O11,$O11)-1)</f>
        <v>17</v>
      </c>
    </row>
    <row r="12" spans="1:17" ht="15" customHeight="1" x14ac:dyDescent="0.3">
      <c r="A12" s="13">
        <f>IFERROR(MATCH(7,$Q$6:$Q$105,0),"")</f>
        <v>3</v>
      </c>
      <c r="B12" s="13" t="str">
        <f t="shared" si="0"/>
        <v>Gvidas Sabeckis</v>
      </c>
      <c r="C12" s="13" t="str">
        <f t="shared" si="1"/>
        <v>Aeroklubas Vertikalė</v>
      </c>
      <c r="D12" s="13">
        <f t="shared" si="2"/>
        <v>7</v>
      </c>
      <c r="E12" s="16">
        <f t="shared" si="3"/>
        <v>3</v>
      </c>
      <c r="F12" s="30">
        <f t="shared" si="4"/>
        <v>-4</v>
      </c>
      <c r="G12" s="14">
        <f t="shared" si="5"/>
        <v>829.65498857106081</v>
      </c>
      <c r="H12" s="14">
        <f t="shared" si="6"/>
        <v>928.19647510382185</v>
      </c>
      <c r="I12" s="31">
        <f t="shared" si="7"/>
        <v>-98.541486532761041</v>
      </c>
      <c r="K12" s="17" t="str">
        <f>IF(Pilotai!B8="","",Pilotai!B8)</f>
        <v>Vytautas Sabeckis</v>
      </c>
      <c r="L12" s="17" t="str">
        <f>IF($K12="","",Pilotai!C8)</f>
        <v>Aeroklubas Vertikalė</v>
      </c>
      <c r="M12" s="18">
        <f>IF($K12="","",IFERROR(INDEX(Reitingai!$G$6:$G$105,MATCH($K12,Reitingai!$B$6:$B$105,0)),0))</f>
        <v>715.64023232470436</v>
      </c>
      <c r="N12" s="18">
        <f>IF($K12="","",SUM((SUMIFS(Rezultatai!$J$2:$J$500,Rezultatai!$B$2:$B$500,$K12,Rezultatai!$A$2:$A$500,((Reitingai!$C$2-1)-2),Rezultatai!$D$2:$D$500,"&lt;&gt;Papildomi (R+)")+MIN(SUMIFS(Rezultatai!$J$2:$J$500,Rezultatai!$B$2:$B$500,$K12,Rezultatai!$A$2:$A$500,((Reitingai!$C$2-1)-2),Rezultatai!$D$2:$D$500,"Papildomi (R+)"),0.15*(SUMIFS(Rezultatai!$J$2:$J$500,Rezultatai!$B$2:$B$500,$K12,Rezultatai!$A$2:$A$500,((Reitingai!$C$2-1)-2),Rezultatai!$D$2:$D$500,"&lt;&gt;Papildomi (R+)"))))*MIN(425,375+(1/70)*(SUMIFS(Parametrai!$B$2:$B$40,Parametrai!$A$2:$A$40,((Reitingai!$C$2-1)-2))-2500)),(SUMIFS(Rezultatai!$J$2:$J$500,Rezultatai!$B$2:$B$500,$K12,Rezultatai!$A$2:$A$500,((Reitingai!$C$2-1)-1),Rezultatai!$D$2:$D$500,"&lt;&gt;Papildomi (R+)")+MIN(SUMIFS(Rezultatai!$J$2:$J$500,Rezultatai!$B$2:$B$500,$K12,Rezultatai!$A$2:$A$500,((Reitingai!$C$2-1)-1),Rezultatai!$D$2:$D$500,"Papildomi (R+)"),0.15*(SUMIFS(Rezultatai!$J$2:$J$500,Rezultatai!$B$2:$B$500,$K12,Rezultatai!$A$2:$A$500,((Reitingai!$C$2-1)-1),Rezultatai!$D$2:$D$500,"&lt;&gt;Papildomi (R+)"))))*MIN(450,400+(1/70)*(SUMIFS(Parametrai!$B$2:$B$40,Parametrai!$A$2:$A$40,((Reitingai!$C$2-1)-1))-2500)),(SUMIFS(Rezultatai!$J$2:$J$500,Rezultatai!$B$2:$B$500,$K12,Rezultatai!$A$2:$A$500,(Reitingai!$C$2-1),Rezultatai!$D$2:$D$500,"&lt;&gt;Papildomi (R+)")+MIN(SUMIFS(Rezultatai!$J$2:$J$500,Rezultatai!$B$2:$B$500,$K12,Rezultatai!$A$2:$A$500,(Reitingai!$C$2-1),Rezultatai!$D$2:$D$500,"Papildomi (R+)"),0.15*(SUMIFS(Rezultatai!$J$2:$J$500,Rezultatai!$B$2:$B$500,$K12,Rezultatai!$A$2:$A$500,(Reitingai!$C$2-1),Rezultatai!$D$2:$D$500,"&lt;&gt;Papildomi (R+)"))))*MIN(550,450+(1/35)*(SUMIFS(Parametrai!$B$2:$B$40,Parametrai!$A$2:$A$40,(Reitingai!$C$2-1))-2500)))-MIN((SUMIFS(Rezultatai!$J$2:$J$500,Rezultatai!$B$2:$B$500,$K12,Rezultatai!$A$2:$A$500,((Reitingai!$C$2-1)-2),Rezultatai!$D$2:$D$500,"&lt;&gt;Papildomi (R+)")+MIN(SUMIFS(Rezultatai!$J$2:$J$500,Rezultatai!$B$2:$B$500,$K12,Rezultatai!$A$2:$A$500,((Reitingai!$C$2-1)-2),Rezultatai!$D$2:$D$500,"Papildomi (R+)"),0.15*(SUMIFS(Rezultatai!$J$2:$J$500,Rezultatai!$B$2:$B$500,$K12,Rezultatai!$A$2:$A$500,((Reitingai!$C$2-1)-2),Rezultatai!$D$2:$D$500,"&lt;&gt;Papildomi (R+)"))))*MIN(425,375+(1/70)*(SUMIFS(Parametrai!$B$2:$B$40,Parametrai!$A$2:$A$40,((Reitingai!$C$2-1)-2))-2500)),(SUMIFS(Rezultatai!$J$2:$J$500,Rezultatai!$B$2:$B$500,$K12,Rezultatai!$A$2:$A$500,((Reitingai!$C$2-1)-1),Rezultatai!$D$2:$D$500,"&lt;&gt;Papildomi (R+)")+MIN(SUMIFS(Rezultatai!$J$2:$J$500,Rezultatai!$B$2:$B$500,$K12,Rezultatai!$A$2:$A$500,((Reitingai!$C$2-1)-1),Rezultatai!$D$2:$D$500,"Papildomi (R+)"),0.15*(SUMIFS(Rezultatai!$J$2:$J$500,Rezultatai!$B$2:$B$500,$K12,Rezultatai!$A$2:$A$500,((Reitingai!$C$2-1)-1),Rezultatai!$D$2:$D$500,"&lt;&gt;Papildomi (R+)"))))*MIN(450,400+(1/70)*(SUMIFS(Parametrai!$B$2:$B$40,Parametrai!$A$2:$A$40,((Reitingai!$C$2-1)-1))-2500)),(SUMIFS(Rezultatai!$J$2:$J$500,Rezultatai!$B$2:$B$500,$K12,Rezultatai!$A$2:$A$500,(Reitingai!$C$2-1),Rezultatai!$D$2:$D$500,"&lt;&gt;Papildomi (R+)")+MIN(SUMIFS(Rezultatai!$J$2:$J$500,Rezultatai!$B$2:$B$500,$K12,Rezultatai!$A$2:$A$500,(Reitingai!$C$2-1),Rezultatai!$D$2:$D$500,"Papildomi (R+)"),0.15*(SUMIFS(Rezultatai!$J$2:$J$500,Rezultatai!$B$2:$B$500,$K12,Rezultatai!$A$2:$A$500,(Reitingai!$C$2-1),Rezultatai!$D$2:$D$500,"&lt;&gt;Papildomi (R+)"))))*MIN(550,450+(1/35)*(SUMIFS(Parametrai!$B$2:$B$40,Parametrai!$A$2:$A$40,(Reitingai!$C$2-1))-2500))))</f>
        <v>834.47530295586671</v>
      </c>
      <c r="O12" s="17">
        <f t="shared" si="8"/>
        <v>10</v>
      </c>
      <c r="P12" s="17">
        <f t="shared" si="9"/>
        <v>7</v>
      </c>
      <c r="Q12" s="17">
        <f>IF($K12="","",$O12+COUNTIF($O$6:$O12,$O12)-1)</f>
        <v>10</v>
      </c>
    </row>
    <row r="13" spans="1:17" ht="15" customHeight="1" x14ac:dyDescent="0.3">
      <c r="A13" s="13">
        <f>IFERROR(MATCH(8,$Q$6:$Q$105,0),"")</f>
        <v>11</v>
      </c>
      <c r="B13" s="13" t="str">
        <f t="shared" si="0"/>
        <v>Darius Liaugaudas</v>
      </c>
      <c r="C13" s="13" t="str">
        <f t="shared" si="1"/>
        <v>Kauno AASK</v>
      </c>
      <c r="D13" s="13">
        <f t="shared" si="2"/>
        <v>8</v>
      </c>
      <c r="E13" s="16">
        <f t="shared" si="3"/>
        <v>11</v>
      </c>
      <c r="F13" s="30">
        <f t="shared" si="4"/>
        <v>3</v>
      </c>
      <c r="G13" s="14">
        <f t="shared" si="5"/>
        <v>804.64093424555313</v>
      </c>
      <c r="H13" s="14">
        <f t="shared" si="6"/>
        <v>796.05116471792701</v>
      </c>
      <c r="I13" s="31">
        <f t="shared" si="7"/>
        <v>8.5897695276261175</v>
      </c>
      <c r="K13" s="17" t="str">
        <f>IF(Pilotai!B9="","",Pilotai!B9)</f>
        <v>Vytautas Rasimavičius</v>
      </c>
      <c r="L13" s="17" t="str">
        <f>IF($K13="","",Pilotai!C9)</f>
        <v>Kauno AASK</v>
      </c>
      <c r="M13" s="18">
        <f>IF($K13="","",IFERROR(INDEX(Reitingai!$G$6:$G$105,MATCH($K13,Reitingai!$B$6:$B$105,0)),0))</f>
        <v>879.58052397246911</v>
      </c>
      <c r="N13" s="18">
        <f>IF($K13="","",SUM((SUMIFS(Rezultatai!$J$2:$J$500,Rezultatai!$B$2:$B$500,$K13,Rezultatai!$A$2:$A$500,((Reitingai!$C$2-1)-2),Rezultatai!$D$2:$D$500,"&lt;&gt;Papildomi (R+)")+MIN(SUMIFS(Rezultatai!$J$2:$J$500,Rezultatai!$B$2:$B$500,$K13,Rezultatai!$A$2:$A$500,((Reitingai!$C$2-1)-2),Rezultatai!$D$2:$D$500,"Papildomi (R+)"),0.15*(SUMIFS(Rezultatai!$J$2:$J$500,Rezultatai!$B$2:$B$500,$K13,Rezultatai!$A$2:$A$500,((Reitingai!$C$2-1)-2),Rezultatai!$D$2:$D$500,"&lt;&gt;Papildomi (R+)"))))*MIN(425,375+(1/70)*(SUMIFS(Parametrai!$B$2:$B$40,Parametrai!$A$2:$A$40,((Reitingai!$C$2-1)-2))-2500)),(SUMIFS(Rezultatai!$J$2:$J$500,Rezultatai!$B$2:$B$500,$K13,Rezultatai!$A$2:$A$500,((Reitingai!$C$2-1)-1),Rezultatai!$D$2:$D$500,"&lt;&gt;Papildomi (R+)")+MIN(SUMIFS(Rezultatai!$J$2:$J$500,Rezultatai!$B$2:$B$500,$K13,Rezultatai!$A$2:$A$500,((Reitingai!$C$2-1)-1),Rezultatai!$D$2:$D$500,"Papildomi (R+)"),0.15*(SUMIFS(Rezultatai!$J$2:$J$500,Rezultatai!$B$2:$B$500,$K13,Rezultatai!$A$2:$A$500,((Reitingai!$C$2-1)-1),Rezultatai!$D$2:$D$500,"&lt;&gt;Papildomi (R+)"))))*MIN(450,400+(1/70)*(SUMIFS(Parametrai!$B$2:$B$40,Parametrai!$A$2:$A$40,((Reitingai!$C$2-1)-1))-2500)),(SUMIFS(Rezultatai!$J$2:$J$500,Rezultatai!$B$2:$B$500,$K13,Rezultatai!$A$2:$A$500,(Reitingai!$C$2-1),Rezultatai!$D$2:$D$500,"&lt;&gt;Papildomi (R+)")+MIN(SUMIFS(Rezultatai!$J$2:$J$500,Rezultatai!$B$2:$B$500,$K13,Rezultatai!$A$2:$A$500,(Reitingai!$C$2-1),Rezultatai!$D$2:$D$500,"Papildomi (R+)"),0.15*(SUMIFS(Rezultatai!$J$2:$J$500,Rezultatai!$B$2:$B$500,$K13,Rezultatai!$A$2:$A$500,(Reitingai!$C$2-1),Rezultatai!$D$2:$D$500,"&lt;&gt;Papildomi (R+)"))))*MIN(550,450+(1/35)*(SUMIFS(Parametrai!$B$2:$B$40,Parametrai!$A$2:$A$40,(Reitingai!$C$2-1))-2500)))-MIN((SUMIFS(Rezultatai!$J$2:$J$500,Rezultatai!$B$2:$B$500,$K13,Rezultatai!$A$2:$A$500,((Reitingai!$C$2-1)-2),Rezultatai!$D$2:$D$500,"&lt;&gt;Papildomi (R+)")+MIN(SUMIFS(Rezultatai!$J$2:$J$500,Rezultatai!$B$2:$B$500,$K13,Rezultatai!$A$2:$A$500,((Reitingai!$C$2-1)-2),Rezultatai!$D$2:$D$500,"Papildomi (R+)"),0.15*(SUMIFS(Rezultatai!$J$2:$J$500,Rezultatai!$B$2:$B$500,$K13,Rezultatai!$A$2:$A$500,((Reitingai!$C$2-1)-2),Rezultatai!$D$2:$D$500,"&lt;&gt;Papildomi (R+)"))))*MIN(425,375+(1/70)*(SUMIFS(Parametrai!$B$2:$B$40,Parametrai!$A$2:$A$40,((Reitingai!$C$2-1)-2))-2500)),(SUMIFS(Rezultatai!$J$2:$J$500,Rezultatai!$B$2:$B$500,$K13,Rezultatai!$A$2:$A$500,((Reitingai!$C$2-1)-1),Rezultatai!$D$2:$D$500,"&lt;&gt;Papildomi (R+)")+MIN(SUMIFS(Rezultatai!$J$2:$J$500,Rezultatai!$B$2:$B$500,$K13,Rezultatai!$A$2:$A$500,((Reitingai!$C$2-1)-1),Rezultatai!$D$2:$D$500,"Papildomi (R+)"),0.15*(SUMIFS(Rezultatai!$J$2:$J$500,Rezultatai!$B$2:$B$500,$K13,Rezultatai!$A$2:$A$500,((Reitingai!$C$2-1)-1),Rezultatai!$D$2:$D$500,"&lt;&gt;Papildomi (R+)"))))*MIN(450,400+(1/70)*(SUMIFS(Parametrai!$B$2:$B$40,Parametrai!$A$2:$A$40,((Reitingai!$C$2-1)-1))-2500)),(SUMIFS(Rezultatai!$J$2:$J$500,Rezultatai!$B$2:$B$500,$K13,Rezultatai!$A$2:$A$500,(Reitingai!$C$2-1),Rezultatai!$D$2:$D$500,"&lt;&gt;Papildomi (R+)")+MIN(SUMIFS(Rezultatai!$J$2:$J$500,Rezultatai!$B$2:$B$500,$K13,Rezultatai!$A$2:$A$500,(Reitingai!$C$2-1),Rezultatai!$D$2:$D$500,"Papildomi (R+)"),0.15*(SUMIFS(Rezultatai!$J$2:$J$500,Rezultatai!$B$2:$B$500,$K13,Rezultatai!$A$2:$A$500,(Reitingai!$C$2-1),Rezultatai!$D$2:$D$500,"&lt;&gt;Papildomi (R+)"))))*MIN(550,450+(1/35)*(SUMIFS(Parametrai!$B$2:$B$40,Parametrai!$A$2:$A$40,(Reitingai!$C$2-1))-2500))))</f>
        <v>817.2291996087863</v>
      </c>
      <c r="O13" s="17">
        <f t="shared" si="8"/>
        <v>4</v>
      </c>
      <c r="P13" s="17">
        <f t="shared" si="9"/>
        <v>8</v>
      </c>
      <c r="Q13" s="17">
        <f>IF($K13="","",$O13+COUNTIF($O$6:$O13,$O13)-1)</f>
        <v>4</v>
      </c>
    </row>
    <row r="14" spans="1:17" ht="15" customHeight="1" x14ac:dyDescent="0.3">
      <c r="A14" s="13">
        <f>IFERROR(MATCH(9,$Q$6:$Q$105,0),"")</f>
        <v>10</v>
      </c>
      <c r="B14" s="13" t="str">
        <f t="shared" si="0"/>
        <v>Viktoras Kukčikaitis</v>
      </c>
      <c r="C14" s="13" t="str">
        <f t="shared" si="1"/>
        <v>Aeroklubas Vertikalė</v>
      </c>
      <c r="D14" s="13">
        <f t="shared" si="2"/>
        <v>9</v>
      </c>
      <c r="E14" s="16">
        <f t="shared" si="3"/>
        <v>10</v>
      </c>
      <c r="F14" s="30">
        <f t="shared" si="4"/>
        <v>1</v>
      </c>
      <c r="G14" s="14">
        <f t="shared" si="5"/>
        <v>743.61649488980061</v>
      </c>
      <c r="H14" s="14">
        <f t="shared" si="6"/>
        <v>806.8092401539343</v>
      </c>
      <c r="I14" s="31">
        <f t="shared" si="7"/>
        <v>-63.192745264133691</v>
      </c>
      <c r="K14" s="17" t="str">
        <f>IF(Pilotai!B10="","",Pilotai!B10)</f>
        <v>Gintaras Drevinskas</v>
      </c>
      <c r="L14" s="17" t="str">
        <f>IF($K14="","",Pilotai!C10)</f>
        <v>Biržų Aeroklubas</v>
      </c>
      <c r="M14" s="18">
        <f>IF($K14="","",IFERROR(INDEX(Reitingai!$G$6:$G$105,MATCH($K14,Reitingai!$B$6:$B$105,0)),0))</f>
        <v>407.01026578540291</v>
      </c>
      <c r="N14" s="18">
        <f>IF($K14="","",SUM((SUMIFS(Rezultatai!$J$2:$J$500,Rezultatai!$B$2:$B$500,$K14,Rezultatai!$A$2:$A$500,((Reitingai!$C$2-1)-2),Rezultatai!$D$2:$D$500,"&lt;&gt;Papildomi (R+)")+MIN(SUMIFS(Rezultatai!$J$2:$J$500,Rezultatai!$B$2:$B$500,$K14,Rezultatai!$A$2:$A$500,((Reitingai!$C$2-1)-2),Rezultatai!$D$2:$D$500,"Papildomi (R+)"),0.15*(SUMIFS(Rezultatai!$J$2:$J$500,Rezultatai!$B$2:$B$500,$K14,Rezultatai!$A$2:$A$500,((Reitingai!$C$2-1)-2),Rezultatai!$D$2:$D$500,"&lt;&gt;Papildomi (R+)"))))*MIN(425,375+(1/70)*(SUMIFS(Parametrai!$B$2:$B$40,Parametrai!$A$2:$A$40,((Reitingai!$C$2-1)-2))-2500)),(SUMIFS(Rezultatai!$J$2:$J$500,Rezultatai!$B$2:$B$500,$K14,Rezultatai!$A$2:$A$500,((Reitingai!$C$2-1)-1),Rezultatai!$D$2:$D$500,"&lt;&gt;Papildomi (R+)")+MIN(SUMIFS(Rezultatai!$J$2:$J$500,Rezultatai!$B$2:$B$500,$K14,Rezultatai!$A$2:$A$500,((Reitingai!$C$2-1)-1),Rezultatai!$D$2:$D$500,"Papildomi (R+)"),0.15*(SUMIFS(Rezultatai!$J$2:$J$500,Rezultatai!$B$2:$B$500,$K14,Rezultatai!$A$2:$A$500,((Reitingai!$C$2-1)-1),Rezultatai!$D$2:$D$500,"&lt;&gt;Papildomi (R+)"))))*MIN(450,400+(1/70)*(SUMIFS(Parametrai!$B$2:$B$40,Parametrai!$A$2:$A$40,((Reitingai!$C$2-1)-1))-2500)),(SUMIFS(Rezultatai!$J$2:$J$500,Rezultatai!$B$2:$B$500,$K14,Rezultatai!$A$2:$A$500,(Reitingai!$C$2-1),Rezultatai!$D$2:$D$500,"&lt;&gt;Papildomi (R+)")+MIN(SUMIFS(Rezultatai!$J$2:$J$500,Rezultatai!$B$2:$B$500,$K14,Rezultatai!$A$2:$A$500,(Reitingai!$C$2-1),Rezultatai!$D$2:$D$500,"Papildomi (R+)"),0.15*(SUMIFS(Rezultatai!$J$2:$J$500,Rezultatai!$B$2:$B$500,$K14,Rezultatai!$A$2:$A$500,(Reitingai!$C$2-1),Rezultatai!$D$2:$D$500,"&lt;&gt;Papildomi (R+)"))))*MIN(550,450+(1/35)*(SUMIFS(Parametrai!$B$2:$B$40,Parametrai!$A$2:$A$40,(Reitingai!$C$2-1))-2500)))-MIN((SUMIFS(Rezultatai!$J$2:$J$500,Rezultatai!$B$2:$B$500,$K14,Rezultatai!$A$2:$A$500,((Reitingai!$C$2-1)-2),Rezultatai!$D$2:$D$500,"&lt;&gt;Papildomi (R+)")+MIN(SUMIFS(Rezultatai!$J$2:$J$500,Rezultatai!$B$2:$B$500,$K14,Rezultatai!$A$2:$A$500,((Reitingai!$C$2-1)-2),Rezultatai!$D$2:$D$500,"Papildomi (R+)"),0.15*(SUMIFS(Rezultatai!$J$2:$J$500,Rezultatai!$B$2:$B$500,$K14,Rezultatai!$A$2:$A$500,((Reitingai!$C$2-1)-2),Rezultatai!$D$2:$D$500,"&lt;&gt;Papildomi (R+)"))))*MIN(425,375+(1/70)*(SUMIFS(Parametrai!$B$2:$B$40,Parametrai!$A$2:$A$40,((Reitingai!$C$2-1)-2))-2500)),(SUMIFS(Rezultatai!$J$2:$J$500,Rezultatai!$B$2:$B$500,$K14,Rezultatai!$A$2:$A$500,((Reitingai!$C$2-1)-1),Rezultatai!$D$2:$D$500,"&lt;&gt;Papildomi (R+)")+MIN(SUMIFS(Rezultatai!$J$2:$J$500,Rezultatai!$B$2:$B$500,$K14,Rezultatai!$A$2:$A$500,((Reitingai!$C$2-1)-1),Rezultatai!$D$2:$D$500,"Papildomi (R+)"),0.15*(SUMIFS(Rezultatai!$J$2:$J$500,Rezultatai!$B$2:$B$500,$K14,Rezultatai!$A$2:$A$500,((Reitingai!$C$2-1)-1),Rezultatai!$D$2:$D$500,"&lt;&gt;Papildomi (R+)"))))*MIN(450,400+(1/70)*(SUMIFS(Parametrai!$B$2:$B$40,Parametrai!$A$2:$A$40,((Reitingai!$C$2-1)-1))-2500)),(SUMIFS(Rezultatai!$J$2:$J$500,Rezultatai!$B$2:$B$500,$K14,Rezultatai!$A$2:$A$500,(Reitingai!$C$2-1),Rezultatai!$D$2:$D$500,"&lt;&gt;Papildomi (R+)")+MIN(SUMIFS(Rezultatai!$J$2:$J$500,Rezultatai!$B$2:$B$500,$K14,Rezultatai!$A$2:$A$500,(Reitingai!$C$2-1),Rezultatai!$D$2:$D$500,"Papildomi (R+)"),0.15*(SUMIFS(Rezultatai!$J$2:$J$500,Rezultatai!$B$2:$B$500,$K14,Rezultatai!$A$2:$A$500,(Reitingai!$C$2-1),Rezultatai!$D$2:$D$500,"&lt;&gt;Papildomi (R+)"))))*MIN(550,450+(1/35)*(SUMIFS(Parametrai!$B$2:$B$40,Parametrai!$A$2:$A$40,(Reitingai!$C$2-1))-2500))))</f>
        <v>816.68574177789469</v>
      </c>
      <c r="O14" s="17">
        <f t="shared" si="8"/>
        <v>18</v>
      </c>
      <c r="P14" s="17">
        <f t="shared" si="9"/>
        <v>9</v>
      </c>
      <c r="Q14" s="17">
        <f>IF($K14="","",$O14+COUNTIF($O$6:$O14,$O14)-1)</f>
        <v>18</v>
      </c>
    </row>
    <row r="15" spans="1:17" ht="15" customHeight="1" x14ac:dyDescent="0.3">
      <c r="A15" s="13">
        <f>IFERROR(MATCH(10,$Q$6:$Q$105,0),"")</f>
        <v>7</v>
      </c>
      <c r="B15" s="13" t="str">
        <f t="shared" si="0"/>
        <v>Vytautas Sabeckis</v>
      </c>
      <c r="C15" s="13" t="str">
        <f t="shared" si="1"/>
        <v>Aeroklubas Vertikalė</v>
      </c>
      <c r="D15" s="13">
        <f t="shared" si="2"/>
        <v>10</v>
      </c>
      <c r="E15" s="16">
        <f t="shared" si="3"/>
        <v>7</v>
      </c>
      <c r="F15" s="30">
        <f t="shared" si="4"/>
        <v>-3</v>
      </c>
      <c r="G15" s="14">
        <f t="shared" si="5"/>
        <v>715.64023232470436</v>
      </c>
      <c r="H15" s="14">
        <f t="shared" si="6"/>
        <v>834.47530295586671</v>
      </c>
      <c r="I15" s="31">
        <f t="shared" si="7"/>
        <v>-118.83507063116235</v>
      </c>
      <c r="K15" s="17" t="str">
        <f>IF(Pilotai!B11="","",Pilotai!B11)</f>
        <v>Viktoras Kukčikaitis</v>
      </c>
      <c r="L15" s="17" t="str">
        <f>IF($K15="","",Pilotai!C11)</f>
        <v>Aeroklubas Vertikalė</v>
      </c>
      <c r="M15" s="18">
        <f>IF($K15="","",IFERROR(INDEX(Reitingai!$G$6:$G$105,MATCH($K15,Reitingai!$B$6:$B$105,0)),0))</f>
        <v>743.61649488980061</v>
      </c>
      <c r="N15" s="18">
        <f>IF($K15="","",SUM((SUMIFS(Rezultatai!$J$2:$J$500,Rezultatai!$B$2:$B$500,$K15,Rezultatai!$A$2:$A$500,((Reitingai!$C$2-1)-2),Rezultatai!$D$2:$D$500,"&lt;&gt;Papildomi (R+)")+MIN(SUMIFS(Rezultatai!$J$2:$J$500,Rezultatai!$B$2:$B$500,$K15,Rezultatai!$A$2:$A$500,((Reitingai!$C$2-1)-2),Rezultatai!$D$2:$D$500,"Papildomi (R+)"),0.15*(SUMIFS(Rezultatai!$J$2:$J$500,Rezultatai!$B$2:$B$500,$K15,Rezultatai!$A$2:$A$500,((Reitingai!$C$2-1)-2),Rezultatai!$D$2:$D$500,"&lt;&gt;Papildomi (R+)"))))*MIN(425,375+(1/70)*(SUMIFS(Parametrai!$B$2:$B$40,Parametrai!$A$2:$A$40,((Reitingai!$C$2-1)-2))-2500)),(SUMIFS(Rezultatai!$J$2:$J$500,Rezultatai!$B$2:$B$500,$K15,Rezultatai!$A$2:$A$500,((Reitingai!$C$2-1)-1),Rezultatai!$D$2:$D$500,"&lt;&gt;Papildomi (R+)")+MIN(SUMIFS(Rezultatai!$J$2:$J$500,Rezultatai!$B$2:$B$500,$K15,Rezultatai!$A$2:$A$500,((Reitingai!$C$2-1)-1),Rezultatai!$D$2:$D$500,"Papildomi (R+)"),0.15*(SUMIFS(Rezultatai!$J$2:$J$500,Rezultatai!$B$2:$B$500,$K15,Rezultatai!$A$2:$A$500,((Reitingai!$C$2-1)-1),Rezultatai!$D$2:$D$500,"&lt;&gt;Papildomi (R+)"))))*MIN(450,400+(1/70)*(SUMIFS(Parametrai!$B$2:$B$40,Parametrai!$A$2:$A$40,((Reitingai!$C$2-1)-1))-2500)),(SUMIFS(Rezultatai!$J$2:$J$500,Rezultatai!$B$2:$B$500,$K15,Rezultatai!$A$2:$A$500,(Reitingai!$C$2-1),Rezultatai!$D$2:$D$500,"&lt;&gt;Papildomi (R+)")+MIN(SUMIFS(Rezultatai!$J$2:$J$500,Rezultatai!$B$2:$B$500,$K15,Rezultatai!$A$2:$A$500,(Reitingai!$C$2-1),Rezultatai!$D$2:$D$500,"Papildomi (R+)"),0.15*(SUMIFS(Rezultatai!$J$2:$J$500,Rezultatai!$B$2:$B$500,$K15,Rezultatai!$A$2:$A$500,(Reitingai!$C$2-1),Rezultatai!$D$2:$D$500,"&lt;&gt;Papildomi (R+)"))))*MIN(550,450+(1/35)*(SUMIFS(Parametrai!$B$2:$B$40,Parametrai!$A$2:$A$40,(Reitingai!$C$2-1))-2500)))-MIN((SUMIFS(Rezultatai!$J$2:$J$500,Rezultatai!$B$2:$B$500,$K15,Rezultatai!$A$2:$A$500,((Reitingai!$C$2-1)-2),Rezultatai!$D$2:$D$500,"&lt;&gt;Papildomi (R+)")+MIN(SUMIFS(Rezultatai!$J$2:$J$500,Rezultatai!$B$2:$B$500,$K15,Rezultatai!$A$2:$A$500,((Reitingai!$C$2-1)-2),Rezultatai!$D$2:$D$500,"Papildomi (R+)"),0.15*(SUMIFS(Rezultatai!$J$2:$J$500,Rezultatai!$B$2:$B$500,$K15,Rezultatai!$A$2:$A$500,((Reitingai!$C$2-1)-2),Rezultatai!$D$2:$D$500,"&lt;&gt;Papildomi (R+)"))))*MIN(425,375+(1/70)*(SUMIFS(Parametrai!$B$2:$B$40,Parametrai!$A$2:$A$40,((Reitingai!$C$2-1)-2))-2500)),(SUMIFS(Rezultatai!$J$2:$J$500,Rezultatai!$B$2:$B$500,$K15,Rezultatai!$A$2:$A$500,((Reitingai!$C$2-1)-1),Rezultatai!$D$2:$D$500,"&lt;&gt;Papildomi (R+)")+MIN(SUMIFS(Rezultatai!$J$2:$J$500,Rezultatai!$B$2:$B$500,$K15,Rezultatai!$A$2:$A$500,((Reitingai!$C$2-1)-1),Rezultatai!$D$2:$D$500,"Papildomi (R+)"),0.15*(SUMIFS(Rezultatai!$J$2:$J$500,Rezultatai!$B$2:$B$500,$K15,Rezultatai!$A$2:$A$500,((Reitingai!$C$2-1)-1),Rezultatai!$D$2:$D$500,"&lt;&gt;Papildomi (R+)"))))*MIN(450,400+(1/70)*(SUMIFS(Parametrai!$B$2:$B$40,Parametrai!$A$2:$A$40,((Reitingai!$C$2-1)-1))-2500)),(SUMIFS(Rezultatai!$J$2:$J$500,Rezultatai!$B$2:$B$500,$K15,Rezultatai!$A$2:$A$500,(Reitingai!$C$2-1),Rezultatai!$D$2:$D$500,"&lt;&gt;Papildomi (R+)")+MIN(SUMIFS(Rezultatai!$J$2:$J$500,Rezultatai!$B$2:$B$500,$K15,Rezultatai!$A$2:$A$500,(Reitingai!$C$2-1),Rezultatai!$D$2:$D$500,"Papildomi (R+)"),0.15*(SUMIFS(Rezultatai!$J$2:$J$500,Rezultatai!$B$2:$B$500,$K15,Rezultatai!$A$2:$A$500,(Reitingai!$C$2-1),Rezultatai!$D$2:$D$500,"&lt;&gt;Papildomi (R+)"))))*MIN(550,450+(1/35)*(SUMIFS(Parametrai!$B$2:$B$40,Parametrai!$A$2:$A$40,(Reitingai!$C$2-1))-2500))))</f>
        <v>806.8092401539343</v>
      </c>
      <c r="O15" s="17">
        <f t="shared" si="8"/>
        <v>9</v>
      </c>
      <c r="P15" s="17">
        <f t="shared" si="9"/>
        <v>10</v>
      </c>
      <c r="Q15" s="17">
        <f>IF($K15="","",$O15+COUNTIF($O$6:$O15,$O15)-1)</f>
        <v>9</v>
      </c>
    </row>
    <row r="16" spans="1:17" ht="15" customHeight="1" x14ac:dyDescent="0.3">
      <c r="A16" s="13">
        <f>IFERROR(MATCH(11,$Q$6:$Q$105,0),"")</f>
        <v>13</v>
      </c>
      <c r="B16" s="13" t="str">
        <f t="shared" si="0"/>
        <v>Andrius Tamulėnas</v>
      </c>
      <c r="C16" s="13" t="str">
        <f t="shared" si="1"/>
        <v>Vilniaus Aeroklubas</v>
      </c>
      <c r="D16" s="13">
        <f t="shared" si="2"/>
        <v>11</v>
      </c>
      <c r="E16" s="16">
        <f t="shared" si="3"/>
        <v>13</v>
      </c>
      <c r="F16" s="30">
        <f t="shared" si="4"/>
        <v>2</v>
      </c>
      <c r="G16" s="14">
        <f t="shared" si="5"/>
        <v>706.2115755917423</v>
      </c>
      <c r="H16" s="14">
        <f t="shared" si="6"/>
        <v>734.13612339310566</v>
      </c>
      <c r="I16" s="31">
        <f t="shared" si="7"/>
        <v>-27.92454780136336</v>
      </c>
      <c r="K16" s="17" t="str">
        <f>IF(Pilotai!B12="","",Pilotai!B12)</f>
        <v>Darius Liaugaudas</v>
      </c>
      <c r="L16" s="17" t="str">
        <f>IF($K16="","",Pilotai!C12)</f>
        <v>Kauno AASK</v>
      </c>
      <c r="M16" s="18">
        <f>IF($K16="","",IFERROR(INDEX(Reitingai!$G$6:$G$105,MATCH($K16,Reitingai!$B$6:$B$105,0)),0))</f>
        <v>804.64093424555313</v>
      </c>
      <c r="N16" s="18">
        <f>IF($K16="","",SUM((SUMIFS(Rezultatai!$J$2:$J$500,Rezultatai!$B$2:$B$500,$K16,Rezultatai!$A$2:$A$500,((Reitingai!$C$2-1)-2),Rezultatai!$D$2:$D$500,"&lt;&gt;Papildomi (R+)")+MIN(SUMIFS(Rezultatai!$J$2:$J$500,Rezultatai!$B$2:$B$500,$K16,Rezultatai!$A$2:$A$500,((Reitingai!$C$2-1)-2),Rezultatai!$D$2:$D$500,"Papildomi (R+)"),0.15*(SUMIFS(Rezultatai!$J$2:$J$500,Rezultatai!$B$2:$B$500,$K16,Rezultatai!$A$2:$A$500,((Reitingai!$C$2-1)-2),Rezultatai!$D$2:$D$500,"&lt;&gt;Papildomi (R+)"))))*MIN(425,375+(1/70)*(SUMIFS(Parametrai!$B$2:$B$40,Parametrai!$A$2:$A$40,((Reitingai!$C$2-1)-2))-2500)),(SUMIFS(Rezultatai!$J$2:$J$500,Rezultatai!$B$2:$B$500,$K16,Rezultatai!$A$2:$A$500,((Reitingai!$C$2-1)-1),Rezultatai!$D$2:$D$500,"&lt;&gt;Papildomi (R+)")+MIN(SUMIFS(Rezultatai!$J$2:$J$500,Rezultatai!$B$2:$B$500,$K16,Rezultatai!$A$2:$A$500,((Reitingai!$C$2-1)-1),Rezultatai!$D$2:$D$500,"Papildomi (R+)"),0.15*(SUMIFS(Rezultatai!$J$2:$J$500,Rezultatai!$B$2:$B$500,$K16,Rezultatai!$A$2:$A$500,((Reitingai!$C$2-1)-1),Rezultatai!$D$2:$D$500,"&lt;&gt;Papildomi (R+)"))))*MIN(450,400+(1/70)*(SUMIFS(Parametrai!$B$2:$B$40,Parametrai!$A$2:$A$40,((Reitingai!$C$2-1)-1))-2500)),(SUMIFS(Rezultatai!$J$2:$J$500,Rezultatai!$B$2:$B$500,$K16,Rezultatai!$A$2:$A$500,(Reitingai!$C$2-1),Rezultatai!$D$2:$D$500,"&lt;&gt;Papildomi (R+)")+MIN(SUMIFS(Rezultatai!$J$2:$J$500,Rezultatai!$B$2:$B$500,$K16,Rezultatai!$A$2:$A$500,(Reitingai!$C$2-1),Rezultatai!$D$2:$D$500,"Papildomi (R+)"),0.15*(SUMIFS(Rezultatai!$J$2:$J$500,Rezultatai!$B$2:$B$500,$K16,Rezultatai!$A$2:$A$500,(Reitingai!$C$2-1),Rezultatai!$D$2:$D$500,"&lt;&gt;Papildomi (R+)"))))*MIN(550,450+(1/35)*(SUMIFS(Parametrai!$B$2:$B$40,Parametrai!$A$2:$A$40,(Reitingai!$C$2-1))-2500)))-MIN((SUMIFS(Rezultatai!$J$2:$J$500,Rezultatai!$B$2:$B$500,$K16,Rezultatai!$A$2:$A$500,((Reitingai!$C$2-1)-2),Rezultatai!$D$2:$D$500,"&lt;&gt;Papildomi (R+)")+MIN(SUMIFS(Rezultatai!$J$2:$J$500,Rezultatai!$B$2:$B$500,$K16,Rezultatai!$A$2:$A$500,((Reitingai!$C$2-1)-2),Rezultatai!$D$2:$D$500,"Papildomi (R+)"),0.15*(SUMIFS(Rezultatai!$J$2:$J$500,Rezultatai!$B$2:$B$500,$K16,Rezultatai!$A$2:$A$500,((Reitingai!$C$2-1)-2),Rezultatai!$D$2:$D$500,"&lt;&gt;Papildomi (R+)"))))*MIN(425,375+(1/70)*(SUMIFS(Parametrai!$B$2:$B$40,Parametrai!$A$2:$A$40,((Reitingai!$C$2-1)-2))-2500)),(SUMIFS(Rezultatai!$J$2:$J$500,Rezultatai!$B$2:$B$500,$K16,Rezultatai!$A$2:$A$500,((Reitingai!$C$2-1)-1),Rezultatai!$D$2:$D$500,"&lt;&gt;Papildomi (R+)")+MIN(SUMIFS(Rezultatai!$J$2:$J$500,Rezultatai!$B$2:$B$500,$K16,Rezultatai!$A$2:$A$500,((Reitingai!$C$2-1)-1),Rezultatai!$D$2:$D$500,"Papildomi (R+)"),0.15*(SUMIFS(Rezultatai!$J$2:$J$500,Rezultatai!$B$2:$B$500,$K16,Rezultatai!$A$2:$A$500,((Reitingai!$C$2-1)-1),Rezultatai!$D$2:$D$500,"&lt;&gt;Papildomi (R+)"))))*MIN(450,400+(1/70)*(SUMIFS(Parametrai!$B$2:$B$40,Parametrai!$A$2:$A$40,((Reitingai!$C$2-1)-1))-2500)),(SUMIFS(Rezultatai!$J$2:$J$500,Rezultatai!$B$2:$B$500,$K16,Rezultatai!$A$2:$A$500,(Reitingai!$C$2-1),Rezultatai!$D$2:$D$500,"&lt;&gt;Papildomi (R+)")+MIN(SUMIFS(Rezultatai!$J$2:$J$500,Rezultatai!$B$2:$B$500,$K16,Rezultatai!$A$2:$A$500,(Reitingai!$C$2-1),Rezultatai!$D$2:$D$500,"Papildomi (R+)"),0.15*(SUMIFS(Rezultatai!$J$2:$J$500,Rezultatai!$B$2:$B$500,$K16,Rezultatai!$A$2:$A$500,(Reitingai!$C$2-1),Rezultatai!$D$2:$D$500,"&lt;&gt;Papildomi (R+)"))))*MIN(550,450+(1/35)*(SUMIFS(Parametrai!$B$2:$B$40,Parametrai!$A$2:$A$40,(Reitingai!$C$2-1))-2500))))</f>
        <v>796.05116471792701</v>
      </c>
      <c r="O16" s="17">
        <f t="shared" si="8"/>
        <v>8</v>
      </c>
      <c r="P16" s="17">
        <f t="shared" si="9"/>
        <v>11</v>
      </c>
      <c r="Q16" s="17">
        <f>IF($K16="","",$O16+COUNTIF($O$6:$O16,$O16)-1)</f>
        <v>8</v>
      </c>
    </row>
    <row r="17" spans="1:17" ht="15" customHeight="1" x14ac:dyDescent="0.3">
      <c r="A17" s="13">
        <f>IFERROR(MATCH(12,$Q$6:$Q$105,0),"")</f>
        <v>14</v>
      </c>
      <c r="B17" s="13" t="str">
        <f t="shared" si="0"/>
        <v>Darius Gudžiūnas</v>
      </c>
      <c r="C17" s="13" t="str">
        <f t="shared" si="1"/>
        <v>Vilniaus Aeroklubas</v>
      </c>
      <c r="D17" s="13">
        <f t="shared" si="2"/>
        <v>12</v>
      </c>
      <c r="E17" s="16">
        <f t="shared" si="3"/>
        <v>14</v>
      </c>
      <c r="F17" s="30">
        <f t="shared" si="4"/>
        <v>2</v>
      </c>
      <c r="G17" s="14">
        <f t="shared" si="5"/>
        <v>657.70687496341475</v>
      </c>
      <c r="H17" s="14">
        <f t="shared" si="6"/>
        <v>684.78856114939299</v>
      </c>
      <c r="I17" s="31">
        <f t="shared" si="7"/>
        <v>-27.081686185978242</v>
      </c>
      <c r="K17" s="17" t="str">
        <f>IF(Pilotai!B13="","",Pilotai!B13)</f>
        <v>Vladas Motūza</v>
      </c>
      <c r="L17" s="17" t="str">
        <f>IF($K17="","",Pilotai!C13)</f>
        <v>Kauno AASK</v>
      </c>
      <c r="M17" s="18">
        <f>IF($K17="","",IFERROR(INDEX(Reitingai!$G$6:$G$105,MATCH($K17,Reitingai!$B$6:$B$105,0)),0))</f>
        <v>839.21479850789183</v>
      </c>
      <c r="N17" s="18">
        <f>IF($K17="","",SUM((SUMIFS(Rezultatai!$J$2:$J$500,Rezultatai!$B$2:$B$500,$K17,Rezultatai!$A$2:$A$500,((Reitingai!$C$2-1)-2),Rezultatai!$D$2:$D$500,"&lt;&gt;Papildomi (R+)")+MIN(SUMIFS(Rezultatai!$J$2:$J$500,Rezultatai!$B$2:$B$500,$K17,Rezultatai!$A$2:$A$500,((Reitingai!$C$2-1)-2),Rezultatai!$D$2:$D$500,"Papildomi (R+)"),0.15*(SUMIFS(Rezultatai!$J$2:$J$500,Rezultatai!$B$2:$B$500,$K17,Rezultatai!$A$2:$A$500,((Reitingai!$C$2-1)-2),Rezultatai!$D$2:$D$500,"&lt;&gt;Papildomi (R+)"))))*MIN(425,375+(1/70)*(SUMIFS(Parametrai!$B$2:$B$40,Parametrai!$A$2:$A$40,((Reitingai!$C$2-1)-2))-2500)),(SUMIFS(Rezultatai!$J$2:$J$500,Rezultatai!$B$2:$B$500,$K17,Rezultatai!$A$2:$A$500,((Reitingai!$C$2-1)-1),Rezultatai!$D$2:$D$500,"&lt;&gt;Papildomi (R+)")+MIN(SUMIFS(Rezultatai!$J$2:$J$500,Rezultatai!$B$2:$B$500,$K17,Rezultatai!$A$2:$A$500,((Reitingai!$C$2-1)-1),Rezultatai!$D$2:$D$500,"Papildomi (R+)"),0.15*(SUMIFS(Rezultatai!$J$2:$J$500,Rezultatai!$B$2:$B$500,$K17,Rezultatai!$A$2:$A$500,((Reitingai!$C$2-1)-1),Rezultatai!$D$2:$D$500,"&lt;&gt;Papildomi (R+)"))))*MIN(450,400+(1/70)*(SUMIFS(Parametrai!$B$2:$B$40,Parametrai!$A$2:$A$40,((Reitingai!$C$2-1)-1))-2500)),(SUMIFS(Rezultatai!$J$2:$J$500,Rezultatai!$B$2:$B$500,$K17,Rezultatai!$A$2:$A$500,(Reitingai!$C$2-1),Rezultatai!$D$2:$D$500,"&lt;&gt;Papildomi (R+)")+MIN(SUMIFS(Rezultatai!$J$2:$J$500,Rezultatai!$B$2:$B$500,$K17,Rezultatai!$A$2:$A$500,(Reitingai!$C$2-1),Rezultatai!$D$2:$D$500,"Papildomi (R+)"),0.15*(SUMIFS(Rezultatai!$J$2:$J$500,Rezultatai!$B$2:$B$500,$K17,Rezultatai!$A$2:$A$500,(Reitingai!$C$2-1),Rezultatai!$D$2:$D$500,"&lt;&gt;Papildomi (R+)"))))*MIN(550,450+(1/35)*(SUMIFS(Parametrai!$B$2:$B$40,Parametrai!$A$2:$A$40,(Reitingai!$C$2-1))-2500)))-MIN((SUMIFS(Rezultatai!$J$2:$J$500,Rezultatai!$B$2:$B$500,$K17,Rezultatai!$A$2:$A$500,((Reitingai!$C$2-1)-2),Rezultatai!$D$2:$D$500,"&lt;&gt;Papildomi (R+)")+MIN(SUMIFS(Rezultatai!$J$2:$J$500,Rezultatai!$B$2:$B$500,$K17,Rezultatai!$A$2:$A$500,((Reitingai!$C$2-1)-2),Rezultatai!$D$2:$D$500,"Papildomi (R+)"),0.15*(SUMIFS(Rezultatai!$J$2:$J$500,Rezultatai!$B$2:$B$500,$K17,Rezultatai!$A$2:$A$500,((Reitingai!$C$2-1)-2),Rezultatai!$D$2:$D$500,"&lt;&gt;Papildomi (R+)"))))*MIN(425,375+(1/70)*(SUMIFS(Parametrai!$B$2:$B$40,Parametrai!$A$2:$A$40,((Reitingai!$C$2-1)-2))-2500)),(SUMIFS(Rezultatai!$J$2:$J$500,Rezultatai!$B$2:$B$500,$K17,Rezultatai!$A$2:$A$500,((Reitingai!$C$2-1)-1),Rezultatai!$D$2:$D$500,"&lt;&gt;Papildomi (R+)")+MIN(SUMIFS(Rezultatai!$J$2:$J$500,Rezultatai!$B$2:$B$500,$K17,Rezultatai!$A$2:$A$500,((Reitingai!$C$2-1)-1),Rezultatai!$D$2:$D$500,"Papildomi (R+)"),0.15*(SUMIFS(Rezultatai!$J$2:$J$500,Rezultatai!$B$2:$B$500,$K17,Rezultatai!$A$2:$A$500,((Reitingai!$C$2-1)-1),Rezultatai!$D$2:$D$500,"&lt;&gt;Papildomi (R+)"))))*MIN(450,400+(1/70)*(SUMIFS(Parametrai!$B$2:$B$40,Parametrai!$A$2:$A$40,((Reitingai!$C$2-1)-1))-2500)),(SUMIFS(Rezultatai!$J$2:$J$500,Rezultatai!$B$2:$B$500,$K17,Rezultatai!$A$2:$A$500,(Reitingai!$C$2-1),Rezultatai!$D$2:$D$500,"&lt;&gt;Papildomi (R+)")+MIN(SUMIFS(Rezultatai!$J$2:$J$500,Rezultatai!$B$2:$B$500,$K17,Rezultatai!$A$2:$A$500,(Reitingai!$C$2-1),Rezultatai!$D$2:$D$500,"Papildomi (R+)"),0.15*(SUMIFS(Rezultatai!$J$2:$J$500,Rezultatai!$B$2:$B$500,$K17,Rezultatai!$A$2:$A$500,(Reitingai!$C$2-1),Rezultatai!$D$2:$D$500,"&lt;&gt;Papildomi (R+)"))))*MIN(550,450+(1/35)*(SUMIFS(Parametrai!$B$2:$B$40,Parametrai!$A$2:$A$40,(Reitingai!$C$2-1))-2500))))</f>
        <v>734.72487513305509</v>
      </c>
      <c r="O17" s="17">
        <f t="shared" si="8"/>
        <v>6</v>
      </c>
      <c r="P17" s="17">
        <f t="shared" si="9"/>
        <v>12</v>
      </c>
      <c r="Q17" s="17">
        <f>IF($K17="","",$O17+COUNTIF($O$6:$O17,$O17)-1)</f>
        <v>6</v>
      </c>
    </row>
    <row r="18" spans="1:17" ht="15" customHeight="1" x14ac:dyDescent="0.3">
      <c r="A18" s="13">
        <f>IFERROR(MATCH(13,$Q$6:$Q$105,0),"")</f>
        <v>17</v>
      </c>
      <c r="B18" s="13" t="str">
        <f t="shared" si="0"/>
        <v>Aleksandras Bateika</v>
      </c>
      <c r="C18" s="13" t="str">
        <f t="shared" si="1"/>
        <v>Kauno AASK</v>
      </c>
      <c r="D18" s="13">
        <f t="shared" si="2"/>
        <v>13</v>
      </c>
      <c r="E18" s="16">
        <f t="shared" si="3"/>
        <v>17</v>
      </c>
      <c r="F18" s="30">
        <f t="shared" si="4"/>
        <v>4</v>
      </c>
      <c r="G18" s="14">
        <f t="shared" si="5"/>
        <v>598.05599542658206</v>
      </c>
      <c r="H18" s="14">
        <f t="shared" si="6"/>
        <v>471.12089902887783</v>
      </c>
      <c r="I18" s="31">
        <f t="shared" si="7"/>
        <v>126.93509639770423</v>
      </c>
      <c r="K18" s="17" t="str">
        <f>IF(Pilotai!B14="","",Pilotai!B14)</f>
        <v>Andrius Tamulėnas</v>
      </c>
      <c r="L18" s="17" t="str">
        <f>IF($K18="","",Pilotai!C14)</f>
        <v>Vilniaus Aeroklubas</v>
      </c>
      <c r="M18" s="18">
        <f>IF($K18="","",IFERROR(INDEX(Reitingai!$G$6:$G$105,MATCH($K18,Reitingai!$B$6:$B$105,0)),0))</f>
        <v>706.2115755917423</v>
      </c>
      <c r="N18" s="18">
        <f>IF($K18="","",SUM((SUMIFS(Rezultatai!$J$2:$J$500,Rezultatai!$B$2:$B$500,$K18,Rezultatai!$A$2:$A$500,((Reitingai!$C$2-1)-2),Rezultatai!$D$2:$D$500,"&lt;&gt;Papildomi (R+)")+MIN(SUMIFS(Rezultatai!$J$2:$J$500,Rezultatai!$B$2:$B$500,$K18,Rezultatai!$A$2:$A$500,((Reitingai!$C$2-1)-2),Rezultatai!$D$2:$D$500,"Papildomi (R+)"),0.15*(SUMIFS(Rezultatai!$J$2:$J$500,Rezultatai!$B$2:$B$500,$K18,Rezultatai!$A$2:$A$500,((Reitingai!$C$2-1)-2),Rezultatai!$D$2:$D$500,"&lt;&gt;Papildomi (R+)"))))*MIN(425,375+(1/70)*(SUMIFS(Parametrai!$B$2:$B$40,Parametrai!$A$2:$A$40,((Reitingai!$C$2-1)-2))-2500)),(SUMIFS(Rezultatai!$J$2:$J$500,Rezultatai!$B$2:$B$500,$K18,Rezultatai!$A$2:$A$500,((Reitingai!$C$2-1)-1),Rezultatai!$D$2:$D$500,"&lt;&gt;Papildomi (R+)")+MIN(SUMIFS(Rezultatai!$J$2:$J$500,Rezultatai!$B$2:$B$500,$K18,Rezultatai!$A$2:$A$500,((Reitingai!$C$2-1)-1),Rezultatai!$D$2:$D$500,"Papildomi (R+)"),0.15*(SUMIFS(Rezultatai!$J$2:$J$500,Rezultatai!$B$2:$B$500,$K18,Rezultatai!$A$2:$A$500,((Reitingai!$C$2-1)-1),Rezultatai!$D$2:$D$500,"&lt;&gt;Papildomi (R+)"))))*MIN(450,400+(1/70)*(SUMIFS(Parametrai!$B$2:$B$40,Parametrai!$A$2:$A$40,((Reitingai!$C$2-1)-1))-2500)),(SUMIFS(Rezultatai!$J$2:$J$500,Rezultatai!$B$2:$B$500,$K18,Rezultatai!$A$2:$A$500,(Reitingai!$C$2-1),Rezultatai!$D$2:$D$500,"&lt;&gt;Papildomi (R+)")+MIN(SUMIFS(Rezultatai!$J$2:$J$500,Rezultatai!$B$2:$B$500,$K18,Rezultatai!$A$2:$A$500,(Reitingai!$C$2-1),Rezultatai!$D$2:$D$500,"Papildomi (R+)"),0.15*(SUMIFS(Rezultatai!$J$2:$J$500,Rezultatai!$B$2:$B$500,$K18,Rezultatai!$A$2:$A$500,(Reitingai!$C$2-1),Rezultatai!$D$2:$D$500,"&lt;&gt;Papildomi (R+)"))))*MIN(550,450+(1/35)*(SUMIFS(Parametrai!$B$2:$B$40,Parametrai!$A$2:$A$40,(Reitingai!$C$2-1))-2500)))-MIN((SUMIFS(Rezultatai!$J$2:$J$500,Rezultatai!$B$2:$B$500,$K18,Rezultatai!$A$2:$A$500,((Reitingai!$C$2-1)-2),Rezultatai!$D$2:$D$500,"&lt;&gt;Papildomi (R+)")+MIN(SUMIFS(Rezultatai!$J$2:$J$500,Rezultatai!$B$2:$B$500,$K18,Rezultatai!$A$2:$A$500,((Reitingai!$C$2-1)-2),Rezultatai!$D$2:$D$500,"Papildomi (R+)"),0.15*(SUMIFS(Rezultatai!$J$2:$J$500,Rezultatai!$B$2:$B$500,$K18,Rezultatai!$A$2:$A$500,((Reitingai!$C$2-1)-2),Rezultatai!$D$2:$D$500,"&lt;&gt;Papildomi (R+)"))))*MIN(425,375+(1/70)*(SUMIFS(Parametrai!$B$2:$B$40,Parametrai!$A$2:$A$40,((Reitingai!$C$2-1)-2))-2500)),(SUMIFS(Rezultatai!$J$2:$J$500,Rezultatai!$B$2:$B$500,$K18,Rezultatai!$A$2:$A$500,((Reitingai!$C$2-1)-1),Rezultatai!$D$2:$D$500,"&lt;&gt;Papildomi (R+)")+MIN(SUMIFS(Rezultatai!$J$2:$J$500,Rezultatai!$B$2:$B$500,$K18,Rezultatai!$A$2:$A$500,((Reitingai!$C$2-1)-1),Rezultatai!$D$2:$D$500,"Papildomi (R+)"),0.15*(SUMIFS(Rezultatai!$J$2:$J$500,Rezultatai!$B$2:$B$500,$K18,Rezultatai!$A$2:$A$500,((Reitingai!$C$2-1)-1),Rezultatai!$D$2:$D$500,"&lt;&gt;Papildomi (R+)"))))*MIN(450,400+(1/70)*(SUMIFS(Parametrai!$B$2:$B$40,Parametrai!$A$2:$A$40,((Reitingai!$C$2-1)-1))-2500)),(SUMIFS(Rezultatai!$J$2:$J$500,Rezultatai!$B$2:$B$500,$K18,Rezultatai!$A$2:$A$500,(Reitingai!$C$2-1),Rezultatai!$D$2:$D$500,"&lt;&gt;Papildomi (R+)")+MIN(SUMIFS(Rezultatai!$J$2:$J$500,Rezultatai!$B$2:$B$500,$K18,Rezultatai!$A$2:$A$500,(Reitingai!$C$2-1),Rezultatai!$D$2:$D$500,"Papildomi (R+)"),0.15*(SUMIFS(Rezultatai!$J$2:$J$500,Rezultatai!$B$2:$B$500,$K18,Rezultatai!$A$2:$A$500,(Reitingai!$C$2-1),Rezultatai!$D$2:$D$500,"&lt;&gt;Papildomi (R+)"))))*MIN(550,450+(1/35)*(SUMIFS(Parametrai!$B$2:$B$40,Parametrai!$A$2:$A$40,(Reitingai!$C$2-1))-2500))))</f>
        <v>734.13612339310566</v>
      </c>
      <c r="O18" s="17">
        <f t="shared" si="8"/>
        <v>11</v>
      </c>
      <c r="P18" s="17">
        <f t="shared" si="9"/>
        <v>13</v>
      </c>
      <c r="Q18" s="17">
        <f>IF($K18="","",$O18+COUNTIF($O$6:$O18,$O18)-1)</f>
        <v>11</v>
      </c>
    </row>
    <row r="19" spans="1:17" ht="15" customHeight="1" x14ac:dyDescent="0.3">
      <c r="A19" s="13">
        <f>IFERROR(MATCH(14,$Q$6:$Q$105,0),"")</f>
        <v>15</v>
      </c>
      <c r="B19" s="13" t="str">
        <f t="shared" si="0"/>
        <v>Artūras Klimašauskas</v>
      </c>
      <c r="C19" s="13" t="str">
        <f t="shared" si="1"/>
        <v>Aeroklubas Vertikalė</v>
      </c>
      <c r="D19" s="13">
        <f t="shared" si="2"/>
        <v>14</v>
      </c>
      <c r="E19" s="16">
        <f t="shared" si="3"/>
        <v>15</v>
      </c>
      <c r="F19" s="30">
        <f t="shared" si="4"/>
        <v>1</v>
      </c>
      <c r="G19" s="14">
        <f t="shared" si="5"/>
        <v>568.20519127759849</v>
      </c>
      <c r="H19" s="14">
        <f t="shared" si="6"/>
        <v>636.91808114304445</v>
      </c>
      <c r="I19" s="31">
        <f t="shared" si="7"/>
        <v>-68.712889865445959</v>
      </c>
      <c r="K19" s="17" t="str">
        <f>IF(Pilotai!B15="","",Pilotai!B15)</f>
        <v>Darius Gudžiūnas</v>
      </c>
      <c r="L19" s="17" t="str">
        <f>IF($K19="","",Pilotai!C15)</f>
        <v>Vilniaus Aeroklubas</v>
      </c>
      <c r="M19" s="18">
        <f>IF($K19="","",IFERROR(INDEX(Reitingai!$G$6:$G$105,MATCH($K19,Reitingai!$B$6:$B$105,0)),0))</f>
        <v>657.70687496341475</v>
      </c>
      <c r="N19" s="18">
        <f>IF($K19="","",SUM((SUMIFS(Rezultatai!$J$2:$J$500,Rezultatai!$B$2:$B$500,$K19,Rezultatai!$A$2:$A$500,((Reitingai!$C$2-1)-2),Rezultatai!$D$2:$D$500,"&lt;&gt;Papildomi (R+)")+MIN(SUMIFS(Rezultatai!$J$2:$J$500,Rezultatai!$B$2:$B$500,$K19,Rezultatai!$A$2:$A$500,((Reitingai!$C$2-1)-2),Rezultatai!$D$2:$D$500,"Papildomi (R+)"),0.15*(SUMIFS(Rezultatai!$J$2:$J$500,Rezultatai!$B$2:$B$500,$K19,Rezultatai!$A$2:$A$500,((Reitingai!$C$2-1)-2),Rezultatai!$D$2:$D$500,"&lt;&gt;Papildomi (R+)"))))*MIN(425,375+(1/70)*(SUMIFS(Parametrai!$B$2:$B$40,Parametrai!$A$2:$A$40,((Reitingai!$C$2-1)-2))-2500)),(SUMIFS(Rezultatai!$J$2:$J$500,Rezultatai!$B$2:$B$500,$K19,Rezultatai!$A$2:$A$500,((Reitingai!$C$2-1)-1),Rezultatai!$D$2:$D$500,"&lt;&gt;Papildomi (R+)")+MIN(SUMIFS(Rezultatai!$J$2:$J$500,Rezultatai!$B$2:$B$500,$K19,Rezultatai!$A$2:$A$500,((Reitingai!$C$2-1)-1),Rezultatai!$D$2:$D$500,"Papildomi (R+)"),0.15*(SUMIFS(Rezultatai!$J$2:$J$500,Rezultatai!$B$2:$B$500,$K19,Rezultatai!$A$2:$A$500,((Reitingai!$C$2-1)-1),Rezultatai!$D$2:$D$500,"&lt;&gt;Papildomi (R+)"))))*MIN(450,400+(1/70)*(SUMIFS(Parametrai!$B$2:$B$40,Parametrai!$A$2:$A$40,((Reitingai!$C$2-1)-1))-2500)),(SUMIFS(Rezultatai!$J$2:$J$500,Rezultatai!$B$2:$B$500,$K19,Rezultatai!$A$2:$A$500,(Reitingai!$C$2-1),Rezultatai!$D$2:$D$500,"&lt;&gt;Papildomi (R+)")+MIN(SUMIFS(Rezultatai!$J$2:$J$500,Rezultatai!$B$2:$B$500,$K19,Rezultatai!$A$2:$A$500,(Reitingai!$C$2-1),Rezultatai!$D$2:$D$500,"Papildomi (R+)"),0.15*(SUMIFS(Rezultatai!$J$2:$J$500,Rezultatai!$B$2:$B$500,$K19,Rezultatai!$A$2:$A$500,(Reitingai!$C$2-1),Rezultatai!$D$2:$D$500,"&lt;&gt;Papildomi (R+)"))))*MIN(550,450+(1/35)*(SUMIFS(Parametrai!$B$2:$B$40,Parametrai!$A$2:$A$40,(Reitingai!$C$2-1))-2500)))-MIN((SUMIFS(Rezultatai!$J$2:$J$500,Rezultatai!$B$2:$B$500,$K19,Rezultatai!$A$2:$A$500,((Reitingai!$C$2-1)-2),Rezultatai!$D$2:$D$500,"&lt;&gt;Papildomi (R+)")+MIN(SUMIFS(Rezultatai!$J$2:$J$500,Rezultatai!$B$2:$B$500,$K19,Rezultatai!$A$2:$A$500,((Reitingai!$C$2-1)-2),Rezultatai!$D$2:$D$500,"Papildomi (R+)"),0.15*(SUMIFS(Rezultatai!$J$2:$J$500,Rezultatai!$B$2:$B$500,$K19,Rezultatai!$A$2:$A$500,((Reitingai!$C$2-1)-2),Rezultatai!$D$2:$D$500,"&lt;&gt;Papildomi (R+)"))))*MIN(425,375+(1/70)*(SUMIFS(Parametrai!$B$2:$B$40,Parametrai!$A$2:$A$40,((Reitingai!$C$2-1)-2))-2500)),(SUMIFS(Rezultatai!$J$2:$J$500,Rezultatai!$B$2:$B$500,$K19,Rezultatai!$A$2:$A$500,((Reitingai!$C$2-1)-1),Rezultatai!$D$2:$D$500,"&lt;&gt;Papildomi (R+)")+MIN(SUMIFS(Rezultatai!$J$2:$J$500,Rezultatai!$B$2:$B$500,$K19,Rezultatai!$A$2:$A$500,((Reitingai!$C$2-1)-1),Rezultatai!$D$2:$D$500,"Papildomi (R+)"),0.15*(SUMIFS(Rezultatai!$J$2:$J$500,Rezultatai!$B$2:$B$500,$K19,Rezultatai!$A$2:$A$500,((Reitingai!$C$2-1)-1),Rezultatai!$D$2:$D$500,"&lt;&gt;Papildomi (R+)"))))*MIN(450,400+(1/70)*(SUMIFS(Parametrai!$B$2:$B$40,Parametrai!$A$2:$A$40,((Reitingai!$C$2-1)-1))-2500)),(SUMIFS(Rezultatai!$J$2:$J$500,Rezultatai!$B$2:$B$500,$K19,Rezultatai!$A$2:$A$500,(Reitingai!$C$2-1),Rezultatai!$D$2:$D$500,"&lt;&gt;Papildomi (R+)")+MIN(SUMIFS(Rezultatai!$J$2:$J$500,Rezultatai!$B$2:$B$500,$K19,Rezultatai!$A$2:$A$500,(Reitingai!$C$2-1),Rezultatai!$D$2:$D$500,"Papildomi (R+)"),0.15*(SUMIFS(Rezultatai!$J$2:$J$500,Rezultatai!$B$2:$B$500,$K19,Rezultatai!$A$2:$A$500,(Reitingai!$C$2-1),Rezultatai!$D$2:$D$500,"&lt;&gt;Papildomi (R+)"))))*MIN(550,450+(1/35)*(SUMIFS(Parametrai!$B$2:$B$40,Parametrai!$A$2:$A$40,(Reitingai!$C$2-1))-2500))))</f>
        <v>684.78856114939299</v>
      </c>
      <c r="O19" s="17">
        <f t="shared" si="8"/>
        <v>12</v>
      </c>
      <c r="P19" s="17">
        <f t="shared" si="9"/>
        <v>14</v>
      </c>
      <c r="Q19" s="17">
        <f>IF($K19="","",$O19+COUNTIF($O$6:$O19,$O19)-1)</f>
        <v>12</v>
      </c>
    </row>
    <row r="20" spans="1:17" ht="15" customHeight="1" x14ac:dyDescent="0.3">
      <c r="A20" s="13">
        <f>IFERROR(MATCH(15,$Q$6:$Q$105,0),"")</f>
        <v>20</v>
      </c>
      <c r="B20" s="13" t="str">
        <f t="shared" si="0"/>
        <v>Edita Skalskienė</v>
      </c>
      <c r="C20" s="13" t="str">
        <f t="shared" si="1"/>
        <v>Kauno AASK</v>
      </c>
      <c r="D20" s="13">
        <f t="shared" si="2"/>
        <v>15</v>
      </c>
      <c r="E20" s="16">
        <f t="shared" si="3"/>
        <v>20</v>
      </c>
      <c r="F20" s="30">
        <f t="shared" si="4"/>
        <v>5</v>
      </c>
      <c r="G20" s="14">
        <f t="shared" si="5"/>
        <v>521.34763049985054</v>
      </c>
      <c r="H20" s="14">
        <f t="shared" si="6"/>
        <v>329.0043594431163</v>
      </c>
      <c r="I20" s="31">
        <f t="shared" si="7"/>
        <v>192.34327105673424</v>
      </c>
      <c r="K20" s="17" t="str">
        <f>IF(Pilotai!B16="","",Pilotai!B16)</f>
        <v>Artūras Klimašauskas</v>
      </c>
      <c r="L20" s="17" t="str">
        <f>IF($K20="","",Pilotai!C16)</f>
        <v>Aeroklubas Vertikalė</v>
      </c>
      <c r="M20" s="18">
        <f>IF($K20="","",IFERROR(INDEX(Reitingai!$G$6:$G$105,MATCH($K20,Reitingai!$B$6:$B$105,0)),0))</f>
        <v>568.20519127759849</v>
      </c>
      <c r="N20" s="18">
        <f>IF($K20="","",SUM((SUMIFS(Rezultatai!$J$2:$J$500,Rezultatai!$B$2:$B$500,$K20,Rezultatai!$A$2:$A$500,((Reitingai!$C$2-1)-2),Rezultatai!$D$2:$D$500,"&lt;&gt;Papildomi (R+)")+MIN(SUMIFS(Rezultatai!$J$2:$J$500,Rezultatai!$B$2:$B$500,$K20,Rezultatai!$A$2:$A$500,((Reitingai!$C$2-1)-2),Rezultatai!$D$2:$D$500,"Papildomi (R+)"),0.15*(SUMIFS(Rezultatai!$J$2:$J$500,Rezultatai!$B$2:$B$500,$K20,Rezultatai!$A$2:$A$500,((Reitingai!$C$2-1)-2),Rezultatai!$D$2:$D$500,"&lt;&gt;Papildomi (R+)"))))*MIN(425,375+(1/70)*(SUMIFS(Parametrai!$B$2:$B$40,Parametrai!$A$2:$A$40,((Reitingai!$C$2-1)-2))-2500)),(SUMIFS(Rezultatai!$J$2:$J$500,Rezultatai!$B$2:$B$500,$K20,Rezultatai!$A$2:$A$500,((Reitingai!$C$2-1)-1),Rezultatai!$D$2:$D$500,"&lt;&gt;Papildomi (R+)")+MIN(SUMIFS(Rezultatai!$J$2:$J$500,Rezultatai!$B$2:$B$500,$K20,Rezultatai!$A$2:$A$500,((Reitingai!$C$2-1)-1),Rezultatai!$D$2:$D$500,"Papildomi (R+)"),0.15*(SUMIFS(Rezultatai!$J$2:$J$500,Rezultatai!$B$2:$B$500,$K20,Rezultatai!$A$2:$A$500,((Reitingai!$C$2-1)-1),Rezultatai!$D$2:$D$500,"&lt;&gt;Papildomi (R+)"))))*MIN(450,400+(1/70)*(SUMIFS(Parametrai!$B$2:$B$40,Parametrai!$A$2:$A$40,((Reitingai!$C$2-1)-1))-2500)),(SUMIFS(Rezultatai!$J$2:$J$500,Rezultatai!$B$2:$B$500,$K20,Rezultatai!$A$2:$A$500,(Reitingai!$C$2-1),Rezultatai!$D$2:$D$500,"&lt;&gt;Papildomi (R+)")+MIN(SUMIFS(Rezultatai!$J$2:$J$500,Rezultatai!$B$2:$B$500,$K20,Rezultatai!$A$2:$A$500,(Reitingai!$C$2-1),Rezultatai!$D$2:$D$500,"Papildomi (R+)"),0.15*(SUMIFS(Rezultatai!$J$2:$J$500,Rezultatai!$B$2:$B$500,$K20,Rezultatai!$A$2:$A$500,(Reitingai!$C$2-1),Rezultatai!$D$2:$D$500,"&lt;&gt;Papildomi (R+)"))))*MIN(550,450+(1/35)*(SUMIFS(Parametrai!$B$2:$B$40,Parametrai!$A$2:$A$40,(Reitingai!$C$2-1))-2500)))-MIN((SUMIFS(Rezultatai!$J$2:$J$500,Rezultatai!$B$2:$B$500,$K20,Rezultatai!$A$2:$A$500,((Reitingai!$C$2-1)-2),Rezultatai!$D$2:$D$500,"&lt;&gt;Papildomi (R+)")+MIN(SUMIFS(Rezultatai!$J$2:$J$500,Rezultatai!$B$2:$B$500,$K20,Rezultatai!$A$2:$A$500,((Reitingai!$C$2-1)-2),Rezultatai!$D$2:$D$500,"Papildomi (R+)"),0.15*(SUMIFS(Rezultatai!$J$2:$J$500,Rezultatai!$B$2:$B$500,$K20,Rezultatai!$A$2:$A$500,((Reitingai!$C$2-1)-2),Rezultatai!$D$2:$D$500,"&lt;&gt;Papildomi (R+)"))))*MIN(425,375+(1/70)*(SUMIFS(Parametrai!$B$2:$B$40,Parametrai!$A$2:$A$40,((Reitingai!$C$2-1)-2))-2500)),(SUMIFS(Rezultatai!$J$2:$J$500,Rezultatai!$B$2:$B$500,$K20,Rezultatai!$A$2:$A$500,((Reitingai!$C$2-1)-1),Rezultatai!$D$2:$D$500,"&lt;&gt;Papildomi (R+)")+MIN(SUMIFS(Rezultatai!$J$2:$J$500,Rezultatai!$B$2:$B$500,$K20,Rezultatai!$A$2:$A$500,((Reitingai!$C$2-1)-1),Rezultatai!$D$2:$D$500,"Papildomi (R+)"),0.15*(SUMIFS(Rezultatai!$J$2:$J$500,Rezultatai!$B$2:$B$500,$K20,Rezultatai!$A$2:$A$500,((Reitingai!$C$2-1)-1),Rezultatai!$D$2:$D$500,"&lt;&gt;Papildomi (R+)"))))*MIN(450,400+(1/70)*(SUMIFS(Parametrai!$B$2:$B$40,Parametrai!$A$2:$A$40,((Reitingai!$C$2-1)-1))-2500)),(SUMIFS(Rezultatai!$J$2:$J$500,Rezultatai!$B$2:$B$500,$K20,Rezultatai!$A$2:$A$500,(Reitingai!$C$2-1),Rezultatai!$D$2:$D$500,"&lt;&gt;Papildomi (R+)")+MIN(SUMIFS(Rezultatai!$J$2:$J$500,Rezultatai!$B$2:$B$500,$K20,Rezultatai!$A$2:$A$500,(Reitingai!$C$2-1),Rezultatai!$D$2:$D$500,"Papildomi (R+)"),0.15*(SUMIFS(Rezultatai!$J$2:$J$500,Rezultatai!$B$2:$B$500,$K20,Rezultatai!$A$2:$A$500,(Reitingai!$C$2-1),Rezultatai!$D$2:$D$500,"&lt;&gt;Papildomi (R+)"))))*MIN(550,450+(1/35)*(SUMIFS(Parametrai!$B$2:$B$40,Parametrai!$A$2:$A$40,(Reitingai!$C$2-1))-2500))))</f>
        <v>636.91808114304445</v>
      </c>
      <c r="O20" s="17">
        <f t="shared" si="8"/>
        <v>14</v>
      </c>
      <c r="P20" s="17">
        <f t="shared" si="9"/>
        <v>15</v>
      </c>
      <c r="Q20" s="17">
        <f>IF($K20="","",$O20+COUNTIF($O$6:$O20,$O20)-1)</f>
        <v>14</v>
      </c>
    </row>
    <row r="21" spans="1:17" ht="15" customHeight="1" x14ac:dyDescent="0.3">
      <c r="A21" s="13">
        <f>IFERROR(MATCH(16,$Q$6:$Q$105,0),"")</f>
        <v>18</v>
      </c>
      <c r="B21" s="13" t="str">
        <f t="shared" si="0"/>
        <v>Gintas Zubė</v>
      </c>
      <c r="C21" s="13" t="str">
        <f t="shared" si="1"/>
        <v>Pamario Sklandytojų Klubas</v>
      </c>
      <c r="D21" s="13">
        <f t="shared" si="2"/>
        <v>16</v>
      </c>
      <c r="E21" s="16">
        <f t="shared" si="3"/>
        <v>18</v>
      </c>
      <c r="F21" s="30">
        <f t="shared" si="4"/>
        <v>2</v>
      </c>
      <c r="G21" s="14">
        <f t="shared" si="5"/>
        <v>433.43223931209883</v>
      </c>
      <c r="H21" s="14">
        <f t="shared" si="6"/>
        <v>433.47875000000005</v>
      </c>
      <c r="I21" s="31">
        <f t="shared" si="7"/>
        <v>-4.6510687901218262E-2</v>
      </c>
      <c r="K21" s="17" t="str">
        <f>IF(Pilotai!B17="","",Pilotai!B17)</f>
        <v>Ričardas Jurkus</v>
      </c>
      <c r="L21" s="17" t="str">
        <f>IF($K21="","",Pilotai!C17)</f>
        <v>Vilniaus Aeroklubas</v>
      </c>
      <c r="M21" s="18">
        <f>IF($K21="","",IFERROR(INDEX(Reitingai!$G$6:$G$105,MATCH($K21,Reitingai!$B$6:$B$105,0)),0))</f>
        <v>329.4406779661017</v>
      </c>
      <c r="N21" s="18">
        <f>IF($K21="","",SUM((SUMIFS(Rezultatai!$J$2:$J$500,Rezultatai!$B$2:$B$500,$K21,Rezultatai!$A$2:$A$500,((Reitingai!$C$2-1)-2),Rezultatai!$D$2:$D$500,"&lt;&gt;Papildomi (R+)")+MIN(SUMIFS(Rezultatai!$J$2:$J$500,Rezultatai!$B$2:$B$500,$K21,Rezultatai!$A$2:$A$500,((Reitingai!$C$2-1)-2),Rezultatai!$D$2:$D$500,"Papildomi (R+)"),0.15*(SUMIFS(Rezultatai!$J$2:$J$500,Rezultatai!$B$2:$B$500,$K21,Rezultatai!$A$2:$A$500,((Reitingai!$C$2-1)-2),Rezultatai!$D$2:$D$500,"&lt;&gt;Papildomi (R+)"))))*MIN(425,375+(1/70)*(SUMIFS(Parametrai!$B$2:$B$40,Parametrai!$A$2:$A$40,((Reitingai!$C$2-1)-2))-2500)),(SUMIFS(Rezultatai!$J$2:$J$500,Rezultatai!$B$2:$B$500,$K21,Rezultatai!$A$2:$A$500,((Reitingai!$C$2-1)-1),Rezultatai!$D$2:$D$500,"&lt;&gt;Papildomi (R+)")+MIN(SUMIFS(Rezultatai!$J$2:$J$500,Rezultatai!$B$2:$B$500,$K21,Rezultatai!$A$2:$A$500,((Reitingai!$C$2-1)-1),Rezultatai!$D$2:$D$500,"Papildomi (R+)"),0.15*(SUMIFS(Rezultatai!$J$2:$J$500,Rezultatai!$B$2:$B$500,$K21,Rezultatai!$A$2:$A$500,((Reitingai!$C$2-1)-1),Rezultatai!$D$2:$D$500,"&lt;&gt;Papildomi (R+)"))))*MIN(450,400+(1/70)*(SUMIFS(Parametrai!$B$2:$B$40,Parametrai!$A$2:$A$40,((Reitingai!$C$2-1)-1))-2500)),(SUMIFS(Rezultatai!$J$2:$J$500,Rezultatai!$B$2:$B$500,$K21,Rezultatai!$A$2:$A$500,(Reitingai!$C$2-1),Rezultatai!$D$2:$D$500,"&lt;&gt;Papildomi (R+)")+MIN(SUMIFS(Rezultatai!$J$2:$J$500,Rezultatai!$B$2:$B$500,$K21,Rezultatai!$A$2:$A$500,(Reitingai!$C$2-1),Rezultatai!$D$2:$D$500,"Papildomi (R+)"),0.15*(SUMIFS(Rezultatai!$J$2:$J$500,Rezultatai!$B$2:$B$500,$K21,Rezultatai!$A$2:$A$500,(Reitingai!$C$2-1),Rezultatai!$D$2:$D$500,"&lt;&gt;Papildomi (R+)"))))*MIN(550,450+(1/35)*(SUMIFS(Parametrai!$B$2:$B$40,Parametrai!$A$2:$A$40,(Reitingai!$C$2-1))-2500)))-MIN((SUMIFS(Rezultatai!$J$2:$J$500,Rezultatai!$B$2:$B$500,$K21,Rezultatai!$A$2:$A$500,((Reitingai!$C$2-1)-2),Rezultatai!$D$2:$D$500,"&lt;&gt;Papildomi (R+)")+MIN(SUMIFS(Rezultatai!$J$2:$J$500,Rezultatai!$B$2:$B$500,$K21,Rezultatai!$A$2:$A$500,((Reitingai!$C$2-1)-2),Rezultatai!$D$2:$D$500,"Papildomi (R+)"),0.15*(SUMIFS(Rezultatai!$J$2:$J$500,Rezultatai!$B$2:$B$500,$K21,Rezultatai!$A$2:$A$500,((Reitingai!$C$2-1)-2),Rezultatai!$D$2:$D$500,"&lt;&gt;Papildomi (R+)"))))*MIN(425,375+(1/70)*(SUMIFS(Parametrai!$B$2:$B$40,Parametrai!$A$2:$A$40,((Reitingai!$C$2-1)-2))-2500)),(SUMIFS(Rezultatai!$J$2:$J$500,Rezultatai!$B$2:$B$500,$K21,Rezultatai!$A$2:$A$500,((Reitingai!$C$2-1)-1),Rezultatai!$D$2:$D$500,"&lt;&gt;Papildomi (R+)")+MIN(SUMIFS(Rezultatai!$J$2:$J$500,Rezultatai!$B$2:$B$500,$K21,Rezultatai!$A$2:$A$500,((Reitingai!$C$2-1)-1),Rezultatai!$D$2:$D$500,"Papildomi (R+)"),0.15*(SUMIFS(Rezultatai!$J$2:$J$500,Rezultatai!$B$2:$B$500,$K21,Rezultatai!$A$2:$A$500,((Reitingai!$C$2-1)-1),Rezultatai!$D$2:$D$500,"&lt;&gt;Papildomi (R+)"))))*MIN(450,400+(1/70)*(SUMIFS(Parametrai!$B$2:$B$40,Parametrai!$A$2:$A$40,((Reitingai!$C$2-1)-1))-2500)),(SUMIFS(Rezultatai!$J$2:$J$500,Rezultatai!$B$2:$B$500,$K21,Rezultatai!$A$2:$A$500,(Reitingai!$C$2-1),Rezultatai!$D$2:$D$500,"&lt;&gt;Papildomi (R+)")+MIN(SUMIFS(Rezultatai!$J$2:$J$500,Rezultatai!$B$2:$B$500,$K21,Rezultatai!$A$2:$A$500,(Reitingai!$C$2-1),Rezultatai!$D$2:$D$500,"Papildomi (R+)"),0.15*(SUMIFS(Rezultatai!$J$2:$J$500,Rezultatai!$B$2:$B$500,$K21,Rezultatai!$A$2:$A$500,(Reitingai!$C$2-1),Rezultatai!$D$2:$D$500,"&lt;&gt;Papildomi (R+)"))))*MIN(550,450+(1/35)*(SUMIFS(Parametrai!$B$2:$B$40,Parametrai!$A$2:$A$40,(Reitingai!$C$2-1))-2500))))</f>
        <v>491.20490460984195</v>
      </c>
      <c r="O21" s="17">
        <f t="shared" si="8"/>
        <v>19</v>
      </c>
      <c r="P21" s="17">
        <f t="shared" si="9"/>
        <v>16</v>
      </c>
      <c r="Q21" s="17">
        <f>IF($K21="","",$O21+COUNTIF($O$6:$O21,$O21)-1)</f>
        <v>19</v>
      </c>
    </row>
    <row r="22" spans="1:17" ht="15" customHeight="1" x14ac:dyDescent="0.3">
      <c r="A22" s="13">
        <f>IFERROR(MATCH(17,$Q$6:$Q$105,0),"")</f>
        <v>6</v>
      </c>
      <c r="B22" s="13" t="str">
        <f t="shared" si="0"/>
        <v>Karolis Mikalauskas</v>
      </c>
      <c r="C22" s="13" t="str">
        <f t="shared" si="1"/>
        <v>Vilniaus Aeroklubas</v>
      </c>
      <c r="D22" s="13">
        <f t="shared" si="2"/>
        <v>17</v>
      </c>
      <c r="E22" s="16">
        <f t="shared" si="3"/>
        <v>6</v>
      </c>
      <c r="F22" s="30">
        <f t="shared" si="4"/>
        <v>-11</v>
      </c>
      <c r="G22" s="14">
        <f t="shared" si="5"/>
        <v>420.87610743917872</v>
      </c>
      <c r="H22" s="14">
        <f t="shared" si="6"/>
        <v>862.83159315668661</v>
      </c>
      <c r="I22" s="31">
        <f t="shared" si="7"/>
        <v>-441.95548571750788</v>
      </c>
      <c r="K22" s="17" t="str">
        <f>IF(Pilotai!B18="","",Pilotai!B18)</f>
        <v>Aleksandras Bateika</v>
      </c>
      <c r="L22" s="17" t="str">
        <f>IF($K22="","",Pilotai!C18)</f>
        <v>Kauno AASK</v>
      </c>
      <c r="M22" s="18">
        <f>IF($K22="","",IFERROR(INDEX(Reitingai!$G$6:$G$105,MATCH($K22,Reitingai!$B$6:$B$105,0)),0))</f>
        <v>598.05599542658206</v>
      </c>
      <c r="N22" s="18">
        <f>IF($K22="","",SUM((SUMIFS(Rezultatai!$J$2:$J$500,Rezultatai!$B$2:$B$500,$K22,Rezultatai!$A$2:$A$500,((Reitingai!$C$2-1)-2),Rezultatai!$D$2:$D$500,"&lt;&gt;Papildomi (R+)")+MIN(SUMIFS(Rezultatai!$J$2:$J$500,Rezultatai!$B$2:$B$500,$K22,Rezultatai!$A$2:$A$500,((Reitingai!$C$2-1)-2),Rezultatai!$D$2:$D$500,"Papildomi (R+)"),0.15*(SUMIFS(Rezultatai!$J$2:$J$500,Rezultatai!$B$2:$B$500,$K22,Rezultatai!$A$2:$A$500,((Reitingai!$C$2-1)-2),Rezultatai!$D$2:$D$500,"&lt;&gt;Papildomi (R+)"))))*MIN(425,375+(1/70)*(SUMIFS(Parametrai!$B$2:$B$40,Parametrai!$A$2:$A$40,((Reitingai!$C$2-1)-2))-2500)),(SUMIFS(Rezultatai!$J$2:$J$500,Rezultatai!$B$2:$B$500,$K22,Rezultatai!$A$2:$A$500,((Reitingai!$C$2-1)-1),Rezultatai!$D$2:$D$500,"&lt;&gt;Papildomi (R+)")+MIN(SUMIFS(Rezultatai!$J$2:$J$500,Rezultatai!$B$2:$B$500,$K22,Rezultatai!$A$2:$A$500,((Reitingai!$C$2-1)-1),Rezultatai!$D$2:$D$500,"Papildomi (R+)"),0.15*(SUMIFS(Rezultatai!$J$2:$J$500,Rezultatai!$B$2:$B$500,$K22,Rezultatai!$A$2:$A$500,((Reitingai!$C$2-1)-1),Rezultatai!$D$2:$D$500,"&lt;&gt;Papildomi (R+)"))))*MIN(450,400+(1/70)*(SUMIFS(Parametrai!$B$2:$B$40,Parametrai!$A$2:$A$40,((Reitingai!$C$2-1)-1))-2500)),(SUMIFS(Rezultatai!$J$2:$J$500,Rezultatai!$B$2:$B$500,$K22,Rezultatai!$A$2:$A$500,(Reitingai!$C$2-1),Rezultatai!$D$2:$D$500,"&lt;&gt;Papildomi (R+)")+MIN(SUMIFS(Rezultatai!$J$2:$J$500,Rezultatai!$B$2:$B$500,$K22,Rezultatai!$A$2:$A$500,(Reitingai!$C$2-1),Rezultatai!$D$2:$D$500,"Papildomi (R+)"),0.15*(SUMIFS(Rezultatai!$J$2:$J$500,Rezultatai!$B$2:$B$500,$K22,Rezultatai!$A$2:$A$500,(Reitingai!$C$2-1),Rezultatai!$D$2:$D$500,"&lt;&gt;Papildomi (R+)"))))*MIN(550,450+(1/35)*(SUMIFS(Parametrai!$B$2:$B$40,Parametrai!$A$2:$A$40,(Reitingai!$C$2-1))-2500)))-MIN((SUMIFS(Rezultatai!$J$2:$J$500,Rezultatai!$B$2:$B$500,$K22,Rezultatai!$A$2:$A$500,((Reitingai!$C$2-1)-2),Rezultatai!$D$2:$D$500,"&lt;&gt;Papildomi (R+)")+MIN(SUMIFS(Rezultatai!$J$2:$J$500,Rezultatai!$B$2:$B$500,$K22,Rezultatai!$A$2:$A$500,((Reitingai!$C$2-1)-2),Rezultatai!$D$2:$D$500,"Papildomi (R+)"),0.15*(SUMIFS(Rezultatai!$J$2:$J$500,Rezultatai!$B$2:$B$500,$K22,Rezultatai!$A$2:$A$500,((Reitingai!$C$2-1)-2),Rezultatai!$D$2:$D$500,"&lt;&gt;Papildomi (R+)"))))*MIN(425,375+(1/70)*(SUMIFS(Parametrai!$B$2:$B$40,Parametrai!$A$2:$A$40,((Reitingai!$C$2-1)-2))-2500)),(SUMIFS(Rezultatai!$J$2:$J$500,Rezultatai!$B$2:$B$500,$K22,Rezultatai!$A$2:$A$500,((Reitingai!$C$2-1)-1),Rezultatai!$D$2:$D$500,"&lt;&gt;Papildomi (R+)")+MIN(SUMIFS(Rezultatai!$J$2:$J$500,Rezultatai!$B$2:$B$500,$K22,Rezultatai!$A$2:$A$500,((Reitingai!$C$2-1)-1),Rezultatai!$D$2:$D$500,"Papildomi (R+)"),0.15*(SUMIFS(Rezultatai!$J$2:$J$500,Rezultatai!$B$2:$B$500,$K22,Rezultatai!$A$2:$A$500,((Reitingai!$C$2-1)-1),Rezultatai!$D$2:$D$500,"&lt;&gt;Papildomi (R+)"))))*MIN(450,400+(1/70)*(SUMIFS(Parametrai!$B$2:$B$40,Parametrai!$A$2:$A$40,((Reitingai!$C$2-1)-1))-2500)),(SUMIFS(Rezultatai!$J$2:$J$500,Rezultatai!$B$2:$B$500,$K22,Rezultatai!$A$2:$A$500,(Reitingai!$C$2-1),Rezultatai!$D$2:$D$500,"&lt;&gt;Papildomi (R+)")+MIN(SUMIFS(Rezultatai!$J$2:$J$500,Rezultatai!$B$2:$B$500,$K22,Rezultatai!$A$2:$A$500,(Reitingai!$C$2-1),Rezultatai!$D$2:$D$500,"Papildomi (R+)"),0.15*(SUMIFS(Rezultatai!$J$2:$J$500,Rezultatai!$B$2:$B$500,$K22,Rezultatai!$A$2:$A$500,(Reitingai!$C$2-1),Rezultatai!$D$2:$D$500,"&lt;&gt;Papildomi (R+)"))))*MIN(550,450+(1/35)*(SUMIFS(Parametrai!$B$2:$B$40,Parametrai!$A$2:$A$40,(Reitingai!$C$2-1))-2500))))</f>
        <v>471.12089902887783</v>
      </c>
      <c r="O22" s="17">
        <f t="shared" si="8"/>
        <v>13</v>
      </c>
      <c r="P22" s="17">
        <f t="shared" si="9"/>
        <v>17</v>
      </c>
      <c r="Q22" s="17">
        <f>IF($K22="","",$O22+COUNTIF($O$6:$O22,$O22)-1)</f>
        <v>13</v>
      </c>
    </row>
    <row r="23" spans="1:17" ht="15" customHeight="1" x14ac:dyDescent="0.3">
      <c r="A23" s="13">
        <f>IFERROR(MATCH(18,$Q$6:$Q$105,0),"")</f>
        <v>9</v>
      </c>
      <c r="B23" s="13" t="str">
        <f t="shared" si="0"/>
        <v>Gintaras Drevinskas</v>
      </c>
      <c r="C23" s="13" t="str">
        <f t="shared" si="1"/>
        <v>Biržų Aeroklubas</v>
      </c>
      <c r="D23" s="13">
        <f t="shared" si="2"/>
        <v>18</v>
      </c>
      <c r="E23" s="16">
        <f t="shared" si="3"/>
        <v>9</v>
      </c>
      <c r="F23" s="30">
        <f t="shared" si="4"/>
        <v>-9</v>
      </c>
      <c r="G23" s="14">
        <f t="shared" si="5"/>
        <v>407.01026578540291</v>
      </c>
      <c r="H23" s="14">
        <f t="shared" si="6"/>
        <v>816.68574177789469</v>
      </c>
      <c r="I23" s="31">
        <f t="shared" si="7"/>
        <v>-409.67547599249178</v>
      </c>
      <c r="K23" s="17" t="str">
        <f>IF(Pilotai!B19="","",Pilotai!B19)</f>
        <v>Gintas Zubė</v>
      </c>
      <c r="L23" s="17" t="str">
        <f>IF($K23="","",Pilotai!C19)</f>
        <v>Pamario Sklandytojų Klubas</v>
      </c>
      <c r="M23" s="18">
        <f>IF($K23="","",IFERROR(INDEX(Reitingai!$G$6:$G$105,MATCH($K23,Reitingai!$B$6:$B$105,0)),0))</f>
        <v>433.43223931209883</v>
      </c>
      <c r="N23" s="18">
        <f>IF($K23="","",SUM((SUMIFS(Rezultatai!$J$2:$J$500,Rezultatai!$B$2:$B$500,$K23,Rezultatai!$A$2:$A$500,((Reitingai!$C$2-1)-2),Rezultatai!$D$2:$D$500,"&lt;&gt;Papildomi (R+)")+MIN(SUMIFS(Rezultatai!$J$2:$J$500,Rezultatai!$B$2:$B$500,$K23,Rezultatai!$A$2:$A$500,((Reitingai!$C$2-1)-2),Rezultatai!$D$2:$D$500,"Papildomi (R+)"),0.15*(SUMIFS(Rezultatai!$J$2:$J$500,Rezultatai!$B$2:$B$500,$K23,Rezultatai!$A$2:$A$500,((Reitingai!$C$2-1)-2),Rezultatai!$D$2:$D$500,"&lt;&gt;Papildomi (R+)"))))*MIN(425,375+(1/70)*(SUMIFS(Parametrai!$B$2:$B$40,Parametrai!$A$2:$A$40,((Reitingai!$C$2-1)-2))-2500)),(SUMIFS(Rezultatai!$J$2:$J$500,Rezultatai!$B$2:$B$500,$K23,Rezultatai!$A$2:$A$500,((Reitingai!$C$2-1)-1),Rezultatai!$D$2:$D$500,"&lt;&gt;Papildomi (R+)")+MIN(SUMIFS(Rezultatai!$J$2:$J$500,Rezultatai!$B$2:$B$500,$K23,Rezultatai!$A$2:$A$500,((Reitingai!$C$2-1)-1),Rezultatai!$D$2:$D$500,"Papildomi (R+)"),0.15*(SUMIFS(Rezultatai!$J$2:$J$500,Rezultatai!$B$2:$B$500,$K23,Rezultatai!$A$2:$A$500,((Reitingai!$C$2-1)-1),Rezultatai!$D$2:$D$500,"&lt;&gt;Papildomi (R+)"))))*MIN(450,400+(1/70)*(SUMIFS(Parametrai!$B$2:$B$40,Parametrai!$A$2:$A$40,((Reitingai!$C$2-1)-1))-2500)),(SUMIFS(Rezultatai!$J$2:$J$500,Rezultatai!$B$2:$B$500,$K23,Rezultatai!$A$2:$A$500,(Reitingai!$C$2-1),Rezultatai!$D$2:$D$500,"&lt;&gt;Papildomi (R+)")+MIN(SUMIFS(Rezultatai!$J$2:$J$500,Rezultatai!$B$2:$B$500,$K23,Rezultatai!$A$2:$A$500,(Reitingai!$C$2-1),Rezultatai!$D$2:$D$500,"Papildomi (R+)"),0.15*(SUMIFS(Rezultatai!$J$2:$J$500,Rezultatai!$B$2:$B$500,$K23,Rezultatai!$A$2:$A$500,(Reitingai!$C$2-1),Rezultatai!$D$2:$D$500,"&lt;&gt;Papildomi (R+)"))))*MIN(550,450+(1/35)*(SUMIFS(Parametrai!$B$2:$B$40,Parametrai!$A$2:$A$40,(Reitingai!$C$2-1))-2500)))-MIN((SUMIFS(Rezultatai!$J$2:$J$500,Rezultatai!$B$2:$B$500,$K23,Rezultatai!$A$2:$A$500,((Reitingai!$C$2-1)-2),Rezultatai!$D$2:$D$500,"&lt;&gt;Papildomi (R+)")+MIN(SUMIFS(Rezultatai!$J$2:$J$500,Rezultatai!$B$2:$B$500,$K23,Rezultatai!$A$2:$A$500,((Reitingai!$C$2-1)-2),Rezultatai!$D$2:$D$500,"Papildomi (R+)"),0.15*(SUMIFS(Rezultatai!$J$2:$J$500,Rezultatai!$B$2:$B$500,$K23,Rezultatai!$A$2:$A$500,((Reitingai!$C$2-1)-2),Rezultatai!$D$2:$D$500,"&lt;&gt;Papildomi (R+)"))))*MIN(425,375+(1/70)*(SUMIFS(Parametrai!$B$2:$B$40,Parametrai!$A$2:$A$40,((Reitingai!$C$2-1)-2))-2500)),(SUMIFS(Rezultatai!$J$2:$J$500,Rezultatai!$B$2:$B$500,$K23,Rezultatai!$A$2:$A$500,((Reitingai!$C$2-1)-1),Rezultatai!$D$2:$D$500,"&lt;&gt;Papildomi (R+)")+MIN(SUMIFS(Rezultatai!$J$2:$J$500,Rezultatai!$B$2:$B$500,$K23,Rezultatai!$A$2:$A$500,((Reitingai!$C$2-1)-1),Rezultatai!$D$2:$D$500,"Papildomi (R+)"),0.15*(SUMIFS(Rezultatai!$J$2:$J$500,Rezultatai!$B$2:$B$500,$K23,Rezultatai!$A$2:$A$500,((Reitingai!$C$2-1)-1),Rezultatai!$D$2:$D$500,"&lt;&gt;Papildomi (R+)"))))*MIN(450,400+(1/70)*(SUMIFS(Parametrai!$B$2:$B$40,Parametrai!$A$2:$A$40,((Reitingai!$C$2-1)-1))-2500)),(SUMIFS(Rezultatai!$J$2:$J$500,Rezultatai!$B$2:$B$500,$K23,Rezultatai!$A$2:$A$500,(Reitingai!$C$2-1),Rezultatai!$D$2:$D$500,"&lt;&gt;Papildomi (R+)")+MIN(SUMIFS(Rezultatai!$J$2:$J$500,Rezultatai!$B$2:$B$500,$K23,Rezultatai!$A$2:$A$500,(Reitingai!$C$2-1),Rezultatai!$D$2:$D$500,"Papildomi (R+)"),0.15*(SUMIFS(Rezultatai!$J$2:$J$500,Rezultatai!$B$2:$B$500,$K23,Rezultatai!$A$2:$A$500,(Reitingai!$C$2-1),Rezultatai!$D$2:$D$500,"&lt;&gt;Papildomi (R+)"))))*MIN(550,450+(1/35)*(SUMIFS(Parametrai!$B$2:$B$40,Parametrai!$A$2:$A$40,(Reitingai!$C$2-1))-2500))))</f>
        <v>433.47875000000005</v>
      </c>
      <c r="O23" s="17">
        <f t="shared" si="8"/>
        <v>16</v>
      </c>
      <c r="P23" s="17">
        <f t="shared" si="9"/>
        <v>18</v>
      </c>
      <c r="Q23" s="17">
        <f>IF($K23="","",$O23+COUNTIF($O$6:$O23,$O23)-1)</f>
        <v>16</v>
      </c>
    </row>
    <row r="24" spans="1:17" ht="15" customHeight="1" x14ac:dyDescent="0.3">
      <c r="A24" s="13">
        <f>IFERROR(MATCH(19,$Q$6:$Q$105,0),"")</f>
        <v>16</v>
      </c>
      <c r="B24" s="13" t="str">
        <f t="shared" si="0"/>
        <v>Ričardas Jurkus</v>
      </c>
      <c r="C24" s="13" t="str">
        <f t="shared" si="1"/>
        <v>Vilniaus Aeroklubas</v>
      </c>
      <c r="D24" s="13">
        <f t="shared" si="2"/>
        <v>19</v>
      </c>
      <c r="E24" s="16">
        <f t="shared" si="3"/>
        <v>16</v>
      </c>
      <c r="F24" s="30">
        <f t="shared" si="4"/>
        <v>-3</v>
      </c>
      <c r="G24" s="14">
        <f t="shared" si="5"/>
        <v>329.4406779661017</v>
      </c>
      <c r="H24" s="14">
        <f t="shared" si="6"/>
        <v>491.20490460984195</v>
      </c>
      <c r="I24" s="31">
        <f t="shared" si="7"/>
        <v>-161.76422664374024</v>
      </c>
      <c r="K24" s="17" t="str">
        <f>IF(Pilotai!B20="","",Pilotai!B20)</f>
        <v>Titas Jovaiša</v>
      </c>
      <c r="L24" s="17" t="str">
        <f>IF($K24="","",Pilotai!C20)</f>
        <v>Kauno AASK</v>
      </c>
      <c r="M24" s="18">
        <f>IF($K24="","",IFERROR(INDEX(Reitingai!$G$6:$G$105,MATCH($K24,Reitingai!$B$6:$B$105,0)),0))</f>
        <v>288.76779661016951</v>
      </c>
      <c r="N24" s="18">
        <f>IF($K24="","",SUM((SUMIFS(Rezultatai!$J$2:$J$500,Rezultatai!$B$2:$B$500,$K24,Rezultatai!$A$2:$A$500,((Reitingai!$C$2-1)-2),Rezultatai!$D$2:$D$500,"&lt;&gt;Papildomi (R+)")+MIN(SUMIFS(Rezultatai!$J$2:$J$500,Rezultatai!$B$2:$B$500,$K24,Rezultatai!$A$2:$A$500,((Reitingai!$C$2-1)-2),Rezultatai!$D$2:$D$500,"Papildomi (R+)"),0.15*(SUMIFS(Rezultatai!$J$2:$J$500,Rezultatai!$B$2:$B$500,$K24,Rezultatai!$A$2:$A$500,((Reitingai!$C$2-1)-2),Rezultatai!$D$2:$D$500,"&lt;&gt;Papildomi (R+)"))))*MIN(425,375+(1/70)*(SUMIFS(Parametrai!$B$2:$B$40,Parametrai!$A$2:$A$40,((Reitingai!$C$2-1)-2))-2500)),(SUMIFS(Rezultatai!$J$2:$J$500,Rezultatai!$B$2:$B$500,$K24,Rezultatai!$A$2:$A$500,((Reitingai!$C$2-1)-1),Rezultatai!$D$2:$D$500,"&lt;&gt;Papildomi (R+)")+MIN(SUMIFS(Rezultatai!$J$2:$J$500,Rezultatai!$B$2:$B$500,$K24,Rezultatai!$A$2:$A$500,((Reitingai!$C$2-1)-1),Rezultatai!$D$2:$D$500,"Papildomi (R+)"),0.15*(SUMIFS(Rezultatai!$J$2:$J$500,Rezultatai!$B$2:$B$500,$K24,Rezultatai!$A$2:$A$500,((Reitingai!$C$2-1)-1),Rezultatai!$D$2:$D$500,"&lt;&gt;Papildomi (R+)"))))*MIN(450,400+(1/70)*(SUMIFS(Parametrai!$B$2:$B$40,Parametrai!$A$2:$A$40,((Reitingai!$C$2-1)-1))-2500)),(SUMIFS(Rezultatai!$J$2:$J$500,Rezultatai!$B$2:$B$500,$K24,Rezultatai!$A$2:$A$500,(Reitingai!$C$2-1),Rezultatai!$D$2:$D$500,"&lt;&gt;Papildomi (R+)")+MIN(SUMIFS(Rezultatai!$J$2:$J$500,Rezultatai!$B$2:$B$500,$K24,Rezultatai!$A$2:$A$500,(Reitingai!$C$2-1),Rezultatai!$D$2:$D$500,"Papildomi (R+)"),0.15*(SUMIFS(Rezultatai!$J$2:$J$500,Rezultatai!$B$2:$B$500,$K24,Rezultatai!$A$2:$A$500,(Reitingai!$C$2-1),Rezultatai!$D$2:$D$500,"&lt;&gt;Papildomi (R+)"))))*MIN(550,450+(1/35)*(SUMIFS(Parametrai!$B$2:$B$40,Parametrai!$A$2:$A$40,(Reitingai!$C$2-1))-2500)))-MIN((SUMIFS(Rezultatai!$J$2:$J$500,Rezultatai!$B$2:$B$500,$K24,Rezultatai!$A$2:$A$500,((Reitingai!$C$2-1)-2),Rezultatai!$D$2:$D$500,"&lt;&gt;Papildomi (R+)")+MIN(SUMIFS(Rezultatai!$J$2:$J$500,Rezultatai!$B$2:$B$500,$K24,Rezultatai!$A$2:$A$500,((Reitingai!$C$2-1)-2),Rezultatai!$D$2:$D$500,"Papildomi (R+)"),0.15*(SUMIFS(Rezultatai!$J$2:$J$500,Rezultatai!$B$2:$B$500,$K24,Rezultatai!$A$2:$A$500,((Reitingai!$C$2-1)-2),Rezultatai!$D$2:$D$500,"&lt;&gt;Papildomi (R+)"))))*MIN(425,375+(1/70)*(SUMIFS(Parametrai!$B$2:$B$40,Parametrai!$A$2:$A$40,((Reitingai!$C$2-1)-2))-2500)),(SUMIFS(Rezultatai!$J$2:$J$500,Rezultatai!$B$2:$B$500,$K24,Rezultatai!$A$2:$A$500,((Reitingai!$C$2-1)-1),Rezultatai!$D$2:$D$500,"&lt;&gt;Papildomi (R+)")+MIN(SUMIFS(Rezultatai!$J$2:$J$500,Rezultatai!$B$2:$B$500,$K24,Rezultatai!$A$2:$A$500,((Reitingai!$C$2-1)-1),Rezultatai!$D$2:$D$500,"Papildomi (R+)"),0.15*(SUMIFS(Rezultatai!$J$2:$J$500,Rezultatai!$B$2:$B$500,$K24,Rezultatai!$A$2:$A$500,((Reitingai!$C$2-1)-1),Rezultatai!$D$2:$D$500,"&lt;&gt;Papildomi (R+)"))))*MIN(450,400+(1/70)*(SUMIFS(Parametrai!$B$2:$B$40,Parametrai!$A$2:$A$40,((Reitingai!$C$2-1)-1))-2500)),(SUMIFS(Rezultatai!$J$2:$J$500,Rezultatai!$B$2:$B$500,$K24,Rezultatai!$A$2:$A$500,(Reitingai!$C$2-1),Rezultatai!$D$2:$D$500,"&lt;&gt;Papildomi (R+)")+MIN(SUMIFS(Rezultatai!$J$2:$J$500,Rezultatai!$B$2:$B$500,$K24,Rezultatai!$A$2:$A$500,(Reitingai!$C$2-1),Rezultatai!$D$2:$D$500,"Papildomi (R+)"),0.15*(SUMIFS(Rezultatai!$J$2:$J$500,Rezultatai!$B$2:$B$500,$K24,Rezultatai!$A$2:$A$500,(Reitingai!$C$2-1),Rezultatai!$D$2:$D$500,"&lt;&gt;Papildomi (R+)"))))*MIN(550,450+(1/35)*(SUMIFS(Parametrai!$B$2:$B$40,Parametrai!$A$2:$A$40,(Reitingai!$C$2-1))-2500))))</f>
        <v>341.11751412429379</v>
      </c>
      <c r="O24" s="17">
        <f t="shared" si="8"/>
        <v>20</v>
      </c>
      <c r="P24" s="17">
        <f t="shared" si="9"/>
        <v>19</v>
      </c>
      <c r="Q24" s="17">
        <f>IF($K24="","",$O24+COUNTIF($O$6:$O24,$O24)-1)</f>
        <v>20</v>
      </c>
    </row>
    <row r="25" spans="1:17" ht="15" customHeight="1" x14ac:dyDescent="0.3">
      <c r="A25" s="13">
        <f>IFERROR(MATCH(20,$Q$6:$Q$105,0),"")</f>
        <v>19</v>
      </c>
      <c r="B25" s="13" t="str">
        <f t="shared" si="0"/>
        <v>Titas Jovaiša</v>
      </c>
      <c r="C25" s="13" t="str">
        <f t="shared" si="1"/>
        <v>Kauno AASK</v>
      </c>
      <c r="D25" s="13">
        <f t="shared" si="2"/>
        <v>20</v>
      </c>
      <c r="E25" s="16">
        <f t="shared" si="3"/>
        <v>19</v>
      </c>
      <c r="F25" s="30">
        <f t="shared" si="4"/>
        <v>-1</v>
      </c>
      <c r="G25" s="14">
        <f t="shared" si="5"/>
        <v>288.76779661016951</v>
      </c>
      <c r="H25" s="14">
        <f t="shared" si="6"/>
        <v>341.11751412429379</v>
      </c>
      <c r="I25" s="31">
        <f t="shared" si="7"/>
        <v>-52.349717514124279</v>
      </c>
      <c r="K25" s="17" t="str">
        <f>IF(Pilotai!B21="","",Pilotai!B21)</f>
        <v>Edita Skalskienė</v>
      </c>
      <c r="L25" s="17" t="str">
        <f>IF($K25="","",Pilotai!C21)</f>
        <v>Kauno AASK</v>
      </c>
      <c r="M25" s="18">
        <f>IF($K25="","",IFERROR(INDEX(Reitingai!$G$6:$G$105,MATCH($K25,Reitingai!$B$6:$B$105,0)),0))</f>
        <v>521.34763049985054</v>
      </c>
      <c r="N25" s="18">
        <f>IF($K25="","",SUM((SUMIFS(Rezultatai!$J$2:$J$500,Rezultatai!$B$2:$B$500,$K25,Rezultatai!$A$2:$A$500,((Reitingai!$C$2-1)-2),Rezultatai!$D$2:$D$500,"&lt;&gt;Papildomi (R+)")+MIN(SUMIFS(Rezultatai!$J$2:$J$500,Rezultatai!$B$2:$B$500,$K25,Rezultatai!$A$2:$A$500,((Reitingai!$C$2-1)-2),Rezultatai!$D$2:$D$500,"Papildomi (R+)"),0.15*(SUMIFS(Rezultatai!$J$2:$J$500,Rezultatai!$B$2:$B$500,$K25,Rezultatai!$A$2:$A$500,((Reitingai!$C$2-1)-2),Rezultatai!$D$2:$D$500,"&lt;&gt;Papildomi (R+)"))))*MIN(425,375+(1/70)*(SUMIFS(Parametrai!$B$2:$B$40,Parametrai!$A$2:$A$40,((Reitingai!$C$2-1)-2))-2500)),(SUMIFS(Rezultatai!$J$2:$J$500,Rezultatai!$B$2:$B$500,$K25,Rezultatai!$A$2:$A$500,((Reitingai!$C$2-1)-1),Rezultatai!$D$2:$D$500,"&lt;&gt;Papildomi (R+)")+MIN(SUMIFS(Rezultatai!$J$2:$J$500,Rezultatai!$B$2:$B$500,$K25,Rezultatai!$A$2:$A$500,((Reitingai!$C$2-1)-1),Rezultatai!$D$2:$D$500,"Papildomi (R+)"),0.15*(SUMIFS(Rezultatai!$J$2:$J$500,Rezultatai!$B$2:$B$500,$K25,Rezultatai!$A$2:$A$500,((Reitingai!$C$2-1)-1),Rezultatai!$D$2:$D$500,"&lt;&gt;Papildomi (R+)"))))*MIN(450,400+(1/70)*(SUMIFS(Parametrai!$B$2:$B$40,Parametrai!$A$2:$A$40,((Reitingai!$C$2-1)-1))-2500)),(SUMIFS(Rezultatai!$J$2:$J$500,Rezultatai!$B$2:$B$500,$K25,Rezultatai!$A$2:$A$500,(Reitingai!$C$2-1),Rezultatai!$D$2:$D$500,"&lt;&gt;Papildomi (R+)")+MIN(SUMIFS(Rezultatai!$J$2:$J$500,Rezultatai!$B$2:$B$500,$K25,Rezultatai!$A$2:$A$500,(Reitingai!$C$2-1),Rezultatai!$D$2:$D$500,"Papildomi (R+)"),0.15*(SUMIFS(Rezultatai!$J$2:$J$500,Rezultatai!$B$2:$B$500,$K25,Rezultatai!$A$2:$A$500,(Reitingai!$C$2-1),Rezultatai!$D$2:$D$500,"&lt;&gt;Papildomi (R+)"))))*MIN(550,450+(1/35)*(SUMIFS(Parametrai!$B$2:$B$40,Parametrai!$A$2:$A$40,(Reitingai!$C$2-1))-2500)))-MIN((SUMIFS(Rezultatai!$J$2:$J$500,Rezultatai!$B$2:$B$500,$K25,Rezultatai!$A$2:$A$500,((Reitingai!$C$2-1)-2),Rezultatai!$D$2:$D$500,"&lt;&gt;Papildomi (R+)")+MIN(SUMIFS(Rezultatai!$J$2:$J$500,Rezultatai!$B$2:$B$500,$K25,Rezultatai!$A$2:$A$500,((Reitingai!$C$2-1)-2),Rezultatai!$D$2:$D$500,"Papildomi (R+)"),0.15*(SUMIFS(Rezultatai!$J$2:$J$500,Rezultatai!$B$2:$B$500,$K25,Rezultatai!$A$2:$A$500,((Reitingai!$C$2-1)-2),Rezultatai!$D$2:$D$500,"&lt;&gt;Papildomi (R+)"))))*MIN(425,375+(1/70)*(SUMIFS(Parametrai!$B$2:$B$40,Parametrai!$A$2:$A$40,((Reitingai!$C$2-1)-2))-2500)),(SUMIFS(Rezultatai!$J$2:$J$500,Rezultatai!$B$2:$B$500,$K25,Rezultatai!$A$2:$A$500,((Reitingai!$C$2-1)-1),Rezultatai!$D$2:$D$500,"&lt;&gt;Papildomi (R+)")+MIN(SUMIFS(Rezultatai!$J$2:$J$500,Rezultatai!$B$2:$B$500,$K25,Rezultatai!$A$2:$A$500,((Reitingai!$C$2-1)-1),Rezultatai!$D$2:$D$500,"Papildomi (R+)"),0.15*(SUMIFS(Rezultatai!$J$2:$J$500,Rezultatai!$B$2:$B$500,$K25,Rezultatai!$A$2:$A$500,((Reitingai!$C$2-1)-1),Rezultatai!$D$2:$D$500,"&lt;&gt;Papildomi (R+)"))))*MIN(450,400+(1/70)*(SUMIFS(Parametrai!$B$2:$B$40,Parametrai!$A$2:$A$40,((Reitingai!$C$2-1)-1))-2500)),(SUMIFS(Rezultatai!$J$2:$J$500,Rezultatai!$B$2:$B$500,$K25,Rezultatai!$A$2:$A$500,(Reitingai!$C$2-1),Rezultatai!$D$2:$D$500,"&lt;&gt;Papildomi (R+)")+MIN(SUMIFS(Rezultatai!$J$2:$J$500,Rezultatai!$B$2:$B$500,$K25,Rezultatai!$A$2:$A$500,(Reitingai!$C$2-1),Rezultatai!$D$2:$D$500,"Papildomi (R+)"),0.15*(SUMIFS(Rezultatai!$J$2:$J$500,Rezultatai!$B$2:$B$500,$K25,Rezultatai!$A$2:$A$500,(Reitingai!$C$2-1),Rezultatai!$D$2:$D$500,"&lt;&gt;Papildomi (R+)"))))*MIN(550,450+(1/35)*(SUMIFS(Parametrai!$B$2:$B$40,Parametrai!$A$2:$A$40,(Reitingai!$C$2-1))-2500))))</f>
        <v>329.0043594431163</v>
      </c>
      <c r="O25" s="17">
        <f t="shared" si="8"/>
        <v>15</v>
      </c>
      <c r="P25" s="17">
        <f t="shared" si="9"/>
        <v>20</v>
      </c>
      <c r="Q25" s="17">
        <f>IF($K25="","",$O25+COUNTIF($O$6:$O25,$O25)-1)</f>
        <v>15</v>
      </c>
    </row>
    <row r="26" spans="1:17" ht="15" customHeight="1" x14ac:dyDescent="0.3">
      <c r="A26" s="13">
        <f>IFERROR(MATCH(21,$Q$6:$Q$105,0),"")</f>
        <v>23</v>
      </c>
      <c r="B26" s="13" t="str">
        <f t="shared" si="0"/>
        <v>Vytautas Paulauskas</v>
      </c>
      <c r="C26" s="13" t="str">
        <f t="shared" si="1"/>
        <v>Kauno AASK</v>
      </c>
      <c r="D26" s="13">
        <f t="shared" si="2"/>
        <v>21</v>
      </c>
      <c r="E26" s="16">
        <f t="shared" si="3"/>
        <v>23</v>
      </c>
      <c r="F26" s="30">
        <f t="shared" si="4"/>
        <v>2</v>
      </c>
      <c r="G26" s="14">
        <f t="shared" si="5"/>
        <v>205.10894929036402</v>
      </c>
      <c r="H26" s="14">
        <f t="shared" si="6"/>
        <v>251.4612363168718</v>
      </c>
      <c r="I26" s="31">
        <f t="shared" si="7"/>
        <v>-46.352287026507781</v>
      </c>
      <c r="K26" s="17" t="str">
        <f>IF(Pilotai!B22="","",Pilotai!B22)</f>
        <v>Gintautas Butnoris</v>
      </c>
      <c r="L26" s="17" t="str">
        <f>IF($K26="","",Pilotai!C22)</f>
        <v>Panevėžys</v>
      </c>
      <c r="M26" s="18">
        <f>IF($K26="","",IFERROR(INDEX(Reitingai!$G$6:$G$105,MATCH($K26,Reitingai!$B$6:$B$105,0)),0))</f>
        <v>0</v>
      </c>
      <c r="N26" s="18">
        <f>IF($K26="","",SUM((SUMIFS(Rezultatai!$J$2:$J$500,Rezultatai!$B$2:$B$500,$K26,Rezultatai!$A$2:$A$500,((Reitingai!$C$2-1)-2),Rezultatai!$D$2:$D$500,"&lt;&gt;Papildomi (R+)")+MIN(SUMIFS(Rezultatai!$J$2:$J$500,Rezultatai!$B$2:$B$500,$K26,Rezultatai!$A$2:$A$500,((Reitingai!$C$2-1)-2),Rezultatai!$D$2:$D$500,"Papildomi (R+)"),0.15*(SUMIFS(Rezultatai!$J$2:$J$500,Rezultatai!$B$2:$B$500,$K26,Rezultatai!$A$2:$A$500,((Reitingai!$C$2-1)-2),Rezultatai!$D$2:$D$500,"&lt;&gt;Papildomi (R+)"))))*MIN(425,375+(1/70)*(SUMIFS(Parametrai!$B$2:$B$40,Parametrai!$A$2:$A$40,((Reitingai!$C$2-1)-2))-2500)),(SUMIFS(Rezultatai!$J$2:$J$500,Rezultatai!$B$2:$B$500,$K26,Rezultatai!$A$2:$A$500,((Reitingai!$C$2-1)-1),Rezultatai!$D$2:$D$500,"&lt;&gt;Papildomi (R+)")+MIN(SUMIFS(Rezultatai!$J$2:$J$500,Rezultatai!$B$2:$B$500,$K26,Rezultatai!$A$2:$A$500,((Reitingai!$C$2-1)-1),Rezultatai!$D$2:$D$500,"Papildomi (R+)"),0.15*(SUMIFS(Rezultatai!$J$2:$J$500,Rezultatai!$B$2:$B$500,$K26,Rezultatai!$A$2:$A$500,((Reitingai!$C$2-1)-1),Rezultatai!$D$2:$D$500,"&lt;&gt;Papildomi (R+)"))))*MIN(450,400+(1/70)*(SUMIFS(Parametrai!$B$2:$B$40,Parametrai!$A$2:$A$40,((Reitingai!$C$2-1)-1))-2500)),(SUMIFS(Rezultatai!$J$2:$J$500,Rezultatai!$B$2:$B$500,$K26,Rezultatai!$A$2:$A$500,(Reitingai!$C$2-1),Rezultatai!$D$2:$D$500,"&lt;&gt;Papildomi (R+)")+MIN(SUMIFS(Rezultatai!$J$2:$J$500,Rezultatai!$B$2:$B$500,$K26,Rezultatai!$A$2:$A$500,(Reitingai!$C$2-1),Rezultatai!$D$2:$D$500,"Papildomi (R+)"),0.15*(SUMIFS(Rezultatai!$J$2:$J$500,Rezultatai!$B$2:$B$500,$K26,Rezultatai!$A$2:$A$500,(Reitingai!$C$2-1),Rezultatai!$D$2:$D$500,"&lt;&gt;Papildomi (R+)"))))*MIN(550,450+(1/35)*(SUMIFS(Parametrai!$B$2:$B$40,Parametrai!$A$2:$A$40,(Reitingai!$C$2-1))-2500)))-MIN((SUMIFS(Rezultatai!$J$2:$J$500,Rezultatai!$B$2:$B$500,$K26,Rezultatai!$A$2:$A$500,((Reitingai!$C$2-1)-2),Rezultatai!$D$2:$D$500,"&lt;&gt;Papildomi (R+)")+MIN(SUMIFS(Rezultatai!$J$2:$J$500,Rezultatai!$B$2:$B$500,$K26,Rezultatai!$A$2:$A$500,((Reitingai!$C$2-1)-2),Rezultatai!$D$2:$D$500,"Papildomi (R+)"),0.15*(SUMIFS(Rezultatai!$J$2:$J$500,Rezultatai!$B$2:$B$500,$K26,Rezultatai!$A$2:$A$500,((Reitingai!$C$2-1)-2),Rezultatai!$D$2:$D$500,"&lt;&gt;Papildomi (R+)"))))*MIN(425,375+(1/70)*(SUMIFS(Parametrai!$B$2:$B$40,Parametrai!$A$2:$A$40,((Reitingai!$C$2-1)-2))-2500)),(SUMIFS(Rezultatai!$J$2:$J$500,Rezultatai!$B$2:$B$500,$K26,Rezultatai!$A$2:$A$500,((Reitingai!$C$2-1)-1),Rezultatai!$D$2:$D$500,"&lt;&gt;Papildomi (R+)")+MIN(SUMIFS(Rezultatai!$J$2:$J$500,Rezultatai!$B$2:$B$500,$K26,Rezultatai!$A$2:$A$500,((Reitingai!$C$2-1)-1),Rezultatai!$D$2:$D$500,"Papildomi (R+)"),0.15*(SUMIFS(Rezultatai!$J$2:$J$500,Rezultatai!$B$2:$B$500,$K26,Rezultatai!$A$2:$A$500,((Reitingai!$C$2-1)-1),Rezultatai!$D$2:$D$500,"&lt;&gt;Papildomi (R+)"))))*MIN(450,400+(1/70)*(SUMIFS(Parametrai!$B$2:$B$40,Parametrai!$A$2:$A$40,((Reitingai!$C$2-1)-1))-2500)),(SUMIFS(Rezultatai!$J$2:$J$500,Rezultatai!$B$2:$B$500,$K26,Rezultatai!$A$2:$A$500,(Reitingai!$C$2-1),Rezultatai!$D$2:$D$500,"&lt;&gt;Papildomi (R+)")+MIN(SUMIFS(Rezultatai!$J$2:$J$500,Rezultatai!$B$2:$B$500,$K26,Rezultatai!$A$2:$A$500,(Reitingai!$C$2-1),Rezultatai!$D$2:$D$500,"Papildomi (R+)"),0.15*(SUMIFS(Rezultatai!$J$2:$J$500,Rezultatai!$B$2:$B$500,$K26,Rezultatai!$A$2:$A$500,(Reitingai!$C$2-1),Rezultatai!$D$2:$D$500,"&lt;&gt;Papildomi (R+)"))))*MIN(550,450+(1/35)*(SUMIFS(Parametrai!$B$2:$B$40,Parametrai!$A$2:$A$40,(Reitingai!$C$2-1))-2500))))</f>
        <v>303.76207729468604</v>
      </c>
      <c r="O26" s="17">
        <f t="shared" si="8"/>
        <v>23</v>
      </c>
      <c r="P26" s="17">
        <f t="shared" si="9"/>
        <v>21</v>
      </c>
      <c r="Q26" s="17">
        <f>IF($K26="","",$O26+COUNTIF($O$6:$O26,$O26)-1)</f>
        <v>23</v>
      </c>
    </row>
    <row r="27" spans="1:17" ht="15" customHeight="1" x14ac:dyDescent="0.3">
      <c r="A27" s="13">
        <f>IFERROR(MATCH(22,$Q$6:$Q$105,0),"")</f>
        <v>25</v>
      </c>
      <c r="B27" s="13" t="str">
        <f t="shared" si="0"/>
        <v>Voldemars Gavars</v>
      </c>
      <c r="C27" s="13" t="str">
        <f t="shared" si="1"/>
        <v>Latvija</v>
      </c>
      <c r="D27" s="13">
        <f t="shared" si="2"/>
        <v>22</v>
      </c>
      <c r="E27" s="16">
        <f t="shared" si="3"/>
        <v>25</v>
      </c>
      <c r="F27" s="30">
        <f t="shared" si="4"/>
        <v>3</v>
      </c>
      <c r="G27" s="14">
        <f t="shared" si="5"/>
        <v>106.68330755168049</v>
      </c>
      <c r="H27" s="14">
        <f t="shared" si="6"/>
        <v>248.15807159350993</v>
      </c>
      <c r="I27" s="31">
        <f t="shared" si="7"/>
        <v>-141.47476404182945</v>
      </c>
      <c r="K27" s="17" t="str">
        <f>IF(Pilotai!B23="","",Pilotai!B23)</f>
        <v>Mindaugas Žaliukas</v>
      </c>
      <c r="L27" s="17" t="str">
        <f>IF($K27="","",Pilotai!C23)</f>
        <v>Kauno AASK</v>
      </c>
      <c r="M27" s="18">
        <f>IF($K27="","",IFERROR(INDEX(Reitingai!$G$6:$G$105,MATCH($K27,Reitingai!$B$6:$B$105,0)),0))</f>
        <v>0</v>
      </c>
      <c r="N27" s="18">
        <f>IF($K27="","",SUM((SUMIFS(Rezultatai!$J$2:$J$500,Rezultatai!$B$2:$B$500,$K27,Rezultatai!$A$2:$A$500,((Reitingai!$C$2-1)-2),Rezultatai!$D$2:$D$500,"&lt;&gt;Papildomi (R+)")+MIN(SUMIFS(Rezultatai!$J$2:$J$500,Rezultatai!$B$2:$B$500,$K27,Rezultatai!$A$2:$A$500,((Reitingai!$C$2-1)-2),Rezultatai!$D$2:$D$500,"Papildomi (R+)"),0.15*(SUMIFS(Rezultatai!$J$2:$J$500,Rezultatai!$B$2:$B$500,$K27,Rezultatai!$A$2:$A$500,((Reitingai!$C$2-1)-2),Rezultatai!$D$2:$D$500,"&lt;&gt;Papildomi (R+)"))))*MIN(425,375+(1/70)*(SUMIFS(Parametrai!$B$2:$B$40,Parametrai!$A$2:$A$40,((Reitingai!$C$2-1)-2))-2500)),(SUMIFS(Rezultatai!$J$2:$J$500,Rezultatai!$B$2:$B$500,$K27,Rezultatai!$A$2:$A$500,((Reitingai!$C$2-1)-1),Rezultatai!$D$2:$D$500,"&lt;&gt;Papildomi (R+)")+MIN(SUMIFS(Rezultatai!$J$2:$J$500,Rezultatai!$B$2:$B$500,$K27,Rezultatai!$A$2:$A$500,((Reitingai!$C$2-1)-1),Rezultatai!$D$2:$D$500,"Papildomi (R+)"),0.15*(SUMIFS(Rezultatai!$J$2:$J$500,Rezultatai!$B$2:$B$500,$K27,Rezultatai!$A$2:$A$500,((Reitingai!$C$2-1)-1),Rezultatai!$D$2:$D$500,"&lt;&gt;Papildomi (R+)"))))*MIN(450,400+(1/70)*(SUMIFS(Parametrai!$B$2:$B$40,Parametrai!$A$2:$A$40,((Reitingai!$C$2-1)-1))-2500)),(SUMIFS(Rezultatai!$J$2:$J$500,Rezultatai!$B$2:$B$500,$K27,Rezultatai!$A$2:$A$500,(Reitingai!$C$2-1),Rezultatai!$D$2:$D$500,"&lt;&gt;Papildomi (R+)")+MIN(SUMIFS(Rezultatai!$J$2:$J$500,Rezultatai!$B$2:$B$500,$K27,Rezultatai!$A$2:$A$500,(Reitingai!$C$2-1),Rezultatai!$D$2:$D$500,"Papildomi (R+)"),0.15*(SUMIFS(Rezultatai!$J$2:$J$500,Rezultatai!$B$2:$B$500,$K27,Rezultatai!$A$2:$A$500,(Reitingai!$C$2-1),Rezultatai!$D$2:$D$500,"&lt;&gt;Papildomi (R+)"))))*MIN(550,450+(1/35)*(SUMIFS(Parametrai!$B$2:$B$40,Parametrai!$A$2:$A$40,(Reitingai!$C$2-1))-2500)))-MIN((SUMIFS(Rezultatai!$J$2:$J$500,Rezultatai!$B$2:$B$500,$K27,Rezultatai!$A$2:$A$500,((Reitingai!$C$2-1)-2),Rezultatai!$D$2:$D$500,"&lt;&gt;Papildomi (R+)")+MIN(SUMIFS(Rezultatai!$J$2:$J$500,Rezultatai!$B$2:$B$500,$K27,Rezultatai!$A$2:$A$500,((Reitingai!$C$2-1)-2),Rezultatai!$D$2:$D$500,"Papildomi (R+)"),0.15*(SUMIFS(Rezultatai!$J$2:$J$500,Rezultatai!$B$2:$B$500,$K27,Rezultatai!$A$2:$A$500,((Reitingai!$C$2-1)-2),Rezultatai!$D$2:$D$500,"&lt;&gt;Papildomi (R+)"))))*MIN(425,375+(1/70)*(SUMIFS(Parametrai!$B$2:$B$40,Parametrai!$A$2:$A$40,((Reitingai!$C$2-1)-2))-2500)),(SUMIFS(Rezultatai!$J$2:$J$500,Rezultatai!$B$2:$B$500,$K27,Rezultatai!$A$2:$A$500,((Reitingai!$C$2-1)-1),Rezultatai!$D$2:$D$500,"&lt;&gt;Papildomi (R+)")+MIN(SUMIFS(Rezultatai!$J$2:$J$500,Rezultatai!$B$2:$B$500,$K27,Rezultatai!$A$2:$A$500,((Reitingai!$C$2-1)-1),Rezultatai!$D$2:$D$500,"Papildomi (R+)"),0.15*(SUMIFS(Rezultatai!$J$2:$J$500,Rezultatai!$B$2:$B$500,$K27,Rezultatai!$A$2:$A$500,((Reitingai!$C$2-1)-1),Rezultatai!$D$2:$D$500,"&lt;&gt;Papildomi (R+)"))))*MIN(450,400+(1/70)*(SUMIFS(Parametrai!$B$2:$B$40,Parametrai!$A$2:$A$40,((Reitingai!$C$2-1)-1))-2500)),(SUMIFS(Rezultatai!$J$2:$J$500,Rezultatai!$B$2:$B$500,$K27,Rezultatai!$A$2:$A$500,(Reitingai!$C$2-1),Rezultatai!$D$2:$D$500,"&lt;&gt;Papildomi (R+)")+MIN(SUMIFS(Rezultatai!$J$2:$J$500,Rezultatai!$B$2:$B$500,$K27,Rezultatai!$A$2:$A$500,(Reitingai!$C$2-1),Rezultatai!$D$2:$D$500,"Papildomi (R+)"),0.15*(SUMIFS(Rezultatai!$J$2:$J$500,Rezultatai!$B$2:$B$500,$K27,Rezultatai!$A$2:$A$500,(Reitingai!$C$2-1),Rezultatai!$D$2:$D$500,"&lt;&gt;Papildomi (R+)"))))*MIN(550,450+(1/35)*(SUMIFS(Parametrai!$B$2:$B$40,Parametrai!$A$2:$A$40,(Reitingai!$C$2-1))-2500))))</f>
        <v>281.33152173913044</v>
      </c>
      <c r="O27" s="17">
        <f t="shared" si="8"/>
        <v>23</v>
      </c>
      <c r="P27" s="17">
        <f t="shared" si="9"/>
        <v>22</v>
      </c>
      <c r="Q27" s="17">
        <f>IF($K27="","",$O27+COUNTIF($O$6:$O27,$O27)-1)</f>
        <v>24</v>
      </c>
    </row>
    <row r="28" spans="1:17" ht="15" customHeight="1" x14ac:dyDescent="0.3">
      <c r="A28" s="13">
        <f>IFERROR(MATCH(23,$Q$6:$Q$105,0),"")</f>
        <v>21</v>
      </c>
      <c r="B28" s="13" t="str">
        <f t="shared" si="0"/>
        <v>Gintautas Butnoris</v>
      </c>
      <c r="C28" s="13" t="str">
        <f t="shared" si="1"/>
        <v>Panevėžys</v>
      </c>
      <c r="D28" s="13">
        <f t="shared" si="2"/>
        <v>23</v>
      </c>
      <c r="E28" s="16">
        <f t="shared" si="3"/>
        <v>21</v>
      </c>
      <c r="F28" s="30">
        <f t="shared" si="4"/>
        <v>-2</v>
      </c>
      <c r="G28" s="14">
        <f t="shared" si="5"/>
        <v>0</v>
      </c>
      <c r="H28" s="14">
        <f t="shared" si="6"/>
        <v>303.76207729468604</v>
      </c>
      <c r="I28" s="31">
        <f t="shared" si="7"/>
        <v>-303.76207729468604</v>
      </c>
      <c r="K28" s="17" t="str">
        <f>IF(Pilotai!B24="","",Pilotai!B24)</f>
        <v>Vytautas Paulauskas</v>
      </c>
      <c r="L28" s="17" t="str">
        <f>IF($K28="","",Pilotai!C24)</f>
        <v>Kauno AASK</v>
      </c>
      <c r="M28" s="18">
        <f>IF($K28="","",IFERROR(INDEX(Reitingai!$G$6:$G$105,MATCH($K28,Reitingai!$B$6:$B$105,0)),0))</f>
        <v>205.10894929036402</v>
      </c>
      <c r="N28" s="18">
        <f>IF($K28="","",SUM((SUMIFS(Rezultatai!$J$2:$J$500,Rezultatai!$B$2:$B$500,$K28,Rezultatai!$A$2:$A$500,((Reitingai!$C$2-1)-2),Rezultatai!$D$2:$D$500,"&lt;&gt;Papildomi (R+)")+MIN(SUMIFS(Rezultatai!$J$2:$J$500,Rezultatai!$B$2:$B$500,$K28,Rezultatai!$A$2:$A$500,((Reitingai!$C$2-1)-2),Rezultatai!$D$2:$D$500,"Papildomi (R+)"),0.15*(SUMIFS(Rezultatai!$J$2:$J$500,Rezultatai!$B$2:$B$500,$K28,Rezultatai!$A$2:$A$500,((Reitingai!$C$2-1)-2),Rezultatai!$D$2:$D$500,"&lt;&gt;Papildomi (R+)"))))*MIN(425,375+(1/70)*(SUMIFS(Parametrai!$B$2:$B$40,Parametrai!$A$2:$A$40,((Reitingai!$C$2-1)-2))-2500)),(SUMIFS(Rezultatai!$J$2:$J$500,Rezultatai!$B$2:$B$500,$K28,Rezultatai!$A$2:$A$500,((Reitingai!$C$2-1)-1),Rezultatai!$D$2:$D$500,"&lt;&gt;Papildomi (R+)")+MIN(SUMIFS(Rezultatai!$J$2:$J$500,Rezultatai!$B$2:$B$500,$K28,Rezultatai!$A$2:$A$500,((Reitingai!$C$2-1)-1),Rezultatai!$D$2:$D$500,"Papildomi (R+)"),0.15*(SUMIFS(Rezultatai!$J$2:$J$500,Rezultatai!$B$2:$B$500,$K28,Rezultatai!$A$2:$A$500,((Reitingai!$C$2-1)-1),Rezultatai!$D$2:$D$500,"&lt;&gt;Papildomi (R+)"))))*MIN(450,400+(1/70)*(SUMIFS(Parametrai!$B$2:$B$40,Parametrai!$A$2:$A$40,((Reitingai!$C$2-1)-1))-2500)),(SUMIFS(Rezultatai!$J$2:$J$500,Rezultatai!$B$2:$B$500,$K28,Rezultatai!$A$2:$A$500,(Reitingai!$C$2-1),Rezultatai!$D$2:$D$500,"&lt;&gt;Papildomi (R+)")+MIN(SUMIFS(Rezultatai!$J$2:$J$500,Rezultatai!$B$2:$B$500,$K28,Rezultatai!$A$2:$A$500,(Reitingai!$C$2-1),Rezultatai!$D$2:$D$500,"Papildomi (R+)"),0.15*(SUMIFS(Rezultatai!$J$2:$J$500,Rezultatai!$B$2:$B$500,$K28,Rezultatai!$A$2:$A$500,(Reitingai!$C$2-1),Rezultatai!$D$2:$D$500,"&lt;&gt;Papildomi (R+)"))))*MIN(550,450+(1/35)*(SUMIFS(Parametrai!$B$2:$B$40,Parametrai!$A$2:$A$40,(Reitingai!$C$2-1))-2500)))-MIN((SUMIFS(Rezultatai!$J$2:$J$500,Rezultatai!$B$2:$B$500,$K28,Rezultatai!$A$2:$A$500,((Reitingai!$C$2-1)-2),Rezultatai!$D$2:$D$500,"&lt;&gt;Papildomi (R+)")+MIN(SUMIFS(Rezultatai!$J$2:$J$500,Rezultatai!$B$2:$B$500,$K28,Rezultatai!$A$2:$A$500,((Reitingai!$C$2-1)-2),Rezultatai!$D$2:$D$500,"Papildomi (R+)"),0.15*(SUMIFS(Rezultatai!$J$2:$J$500,Rezultatai!$B$2:$B$500,$K28,Rezultatai!$A$2:$A$500,((Reitingai!$C$2-1)-2),Rezultatai!$D$2:$D$500,"&lt;&gt;Papildomi (R+)"))))*MIN(425,375+(1/70)*(SUMIFS(Parametrai!$B$2:$B$40,Parametrai!$A$2:$A$40,((Reitingai!$C$2-1)-2))-2500)),(SUMIFS(Rezultatai!$J$2:$J$500,Rezultatai!$B$2:$B$500,$K28,Rezultatai!$A$2:$A$500,((Reitingai!$C$2-1)-1),Rezultatai!$D$2:$D$500,"&lt;&gt;Papildomi (R+)")+MIN(SUMIFS(Rezultatai!$J$2:$J$500,Rezultatai!$B$2:$B$500,$K28,Rezultatai!$A$2:$A$500,((Reitingai!$C$2-1)-1),Rezultatai!$D$2:$D$500,"Papildomi (R+)"),0.15*(SUMIFS(Rezultatai!$J$2:$J$500,Rezultatai!$B$2:$B$500,$K28,Rezultatai!$A$2:$A$500,((Reitingai!$C$2-1)-1),Rezultatai!$D$2:$D$500,"&lt;&gt;Papildomi (R+)"))))*MIN(450,400+(1/70)*(SUMIFS(Parametrai!$B$2:$B$40,Parametrai!$A$2:$A$40,((Reitingai!$C$2-1)-1))-2500)),(SUMIFS(Rezultatai!$J$2:$J$500,Rezultatai!$B$2:$B$500,$K28,Rezultatai!$A$2:$A$500,(Reitingai!$C$2-1),Rezultatai!$D$2:$D$500,"&lt;&gt;Papildomi (R+)")+MIN(SUMIFS(Rezultatai!$J$2:$J$500,Rezultatai!$B$2:$B$500,$K28,Rezultatai!$A$2:$A$500,(Reitingai!$C$2-1),Rezultatai!$D$2:$D$500,"Papildomi (R+)"),0.15*(SUMIFS(Rezultatai!$J$2:$J$500,Rezultatai!$B$2:$B$500,$K28,Rezultatai!$A$2:$A$500,(Reitingai!$C$2-1),Rezultatai!$D$2:$D$500,"&lt;&gt;Papildomi (R+)"))))*MIN(550,450+(1/35)*(SUMIFS(Parametrai!$B$2:$B$40,Parametrai!$A$2:$A$40,(Reitingai!$C$2-1))-2500))))</f>
        <v>251.4612363168718</v>
      </c>
      <c r="O28" s="17">
        <f t="shared" si="8"/>
        <v>21</v>
      </c>
      <c r="P28" s="17">
        <f t="shared" si="9"/>
        <v>23</v>
      </c>
      <c r="Q28" s="17">
        <f>IF($K28="","",$O28+COUNTIF($O$6:$O28,$O28)-1)</f>
        <v>21</v>
      </c>
    </row>
    <row r="29" spans="1:17" ht="15" customHeight="1" x14ac:dyDescent="0.3">
      <c r="A29" s="13">
        <f>IFERROR(MATCH(24,$Q$6:$Q$105,0),"")</f>
        <v>22</v>
      </c>
      <c r="B29" s="13" t="str">
        <f t="shared" si="0"/>
        <v>Mindaugas Žaliukas</v>
      </c>
      <c r="C29" s="13" t="str">
        <f t="shared" si="1"/>
        <v>Kauno AASK</v>
      </c>
      <c r="D29" s="13">
        <f t="shared" si="2"/>
        <v>23</v>
      </c>
      <c r="E29" s="16">
        <f t="shared" si="3"/>
        <v>22</v>
      </c>
      <c r="F29" s="30">
        <f t="shared" si="4"/>
        <v>-1</v>
      </c>
      <c r="G29" s="14">
        <f t="shared" si="5"/>
        <v>0</v>
      </c>
      <c r="H29" s="14">
        <f t="shared" si="6"/>
        <v>281.33152173913044</v>
      </c>
      <c r="I29" s="31">
        <f t="shared" si="7"/>
        <v>-281.33152173913044</v>
      </c>
      <c r="K29" s="17" t="str">
        <f>IF(Pilotai!B25="","",Pilotai!B25)</f>
        <v>Aidas Kasputis</v>
      </c>
      <c r="L29" s="17" t="str">
        <f>IF($K29="","",Pilotai!C25)</f>
        <v>Šiauliai</v>
      </c>
      <c r="M29" s="18">
        <f>IF($K29="","",IFERROR(INDEX(Reitingai!$G$6:$G$105,MATCH($K29,Reitingai!$B$6:$B$105,0)),0))</f>
        <v>0</v>
      </c>
      <c r="N29" s="18">
        <f>IF($K29="","",SUM((SUMIFS(Rezultatai!$J$2:$J$500,Rezultatai!$B$2:$B$500,$K29,Rezultatai!$A$2:$A$500,((Reitingai!$C$2-1)-2),Rezultatai!$D$2:$D$500,"&lt;&gt;Papildomi (R+)")+MIN(SUMIFS(Rezultatai!$J$2:$J$500,Rezultatai!$B$2:$B$500,$K29,Rezultatai!$A$2:$A$500,((Reitingai!$C$2-1)-2),Rezultatai!$D$2:$D$500,"Papildomi (R+)"),0.15*(SUMIFS(Rezultatai!$J$2:$J$500,Rezultatai!$B$2:$B$500,$K29,Rezultatai!$A$2:$A$500,((Reitingai!$C$2-1)-2),Rezultatai!$D$2:$D$500,"&lt;&gt;Papildomi (R+)"))))*MIN(425,375+(1/70)*(SUMIFS(Parametrai!$B$2:$B$40,Parametrai!$A$2:$A$40,((Reitingai!$C$2-1)-2))-2500)),(SUMIFS(Rezultatai!$J$2:$J$500,Rezultatai!$B$2:$B$500,$K29,Rezultatai!$A$2:$A$500,((Reitingai!$C$2-1)-1),Rezultatai!$D$2:$D$500,"&lt;&gt;Papildomi (R+)")+MIN(SUMIFS(Rezultatai!$J$2:$J$500,Rezultatai!$B$2:$B$500,$K29,Rezultatai!$A$2:$A$500,((Reitingai!$C$2-1)-1),Rezultatai!$D$2:$D$500,"Papildomi (R+)"),0.15*(SUMIFS(Rezultatai!$J$2:$J$500,Rezultatai!$B$2:$B$500,$K29,Rezultatai!$A$2:$A$500,((Reitingai!$C$2-1)-1),Rezultatai!$D$2:$D$500,"&lt;&gt;Papildomi (R+)"))))*MIN(450,400+(1/70)*(SUMIFS(Parametrai!$B$2:$B$40,Parametrai!$A$2:$A$40,((Reitingai!$C$2-1)-1))-2500)),(SUMIFS(Rezultatai!$J$2:$J$500,Rezultatai!$B$2:$B$500,$K29,Rezultatai!$A$2:$A$500,(Reitingai!$C$2-1),Rezultatai!$D$2:$D$500,"&lt;&gt;Papildomi (R+)")+MIN(SUMIFS(Rezultatai!$J$2:$J$500,Rezultatai!$B$2:$B$500,$K29,Rezultatai!$A$2:$A$500,(Reitingai!$C$2-1),Rezultatai!$D$2:$D$500,"Papildomi (R+)"),0.15*(SUMIFS(Rezultatai!$J$2:$J$500,Rezultatai!$B$2:$B$500,$K29,Rezultatai!$A$2:$A$500,(Reitingai!$C$2-1),Rezultatai!$D$2:$D$500,"&lt;&gt;Papildomi (R+)"))))*MIN(550,450+(1/35)*(SUMIFS(Parametrai!$B$2:$B$40,Parametrai!$A$2:$A$40,(Reitingai!$C$2-1))-2500)))-MIN((SUMIFS(Rezultatai!$J$2:$J$500,Rezultatai!$B$2:$B$500,$K29,Rezultatai!$A$2:$A$500,((Reitingai!$C$2-1)-2),Rezultatai!$D$2:$D$500,"&lt;&gt;Papildomi (R+)")+MIN(SUMIFS(Rezultatai!$J$2:$J$500,Rezultatai!$B$2:$B$500,$K29,Rezultatai!$A$2:$A$500,((Reitingai!$C$2-1)-2),Rezultatai!$D$2:$D$500,"Papildomi (R+)"),0.15*(SUMIFS(Rezultatai!$J$2:$J$500,Rezultatai!$B$2:$B$500,$K29,Rezultatai!$A$2:$A$500,((Reitingai!$C$2-1)-2),Rezultatai!$D$2:$D$500,"&lt;&gt;Papildomi (R+)"))))*MIN(425,375+(1/70)*(SUMIFS(Parametrai!$B$2:$B$40,Parametrai!$A$2:$A$40,((Reitingai!$C$2-1)-2))-2500)),(SUMIFS(Rezultatai!$J$2:$J$500,Rezultatai!$B$2:$B$500,$K29,Rezultatai!$A$2:$A$500,((Reitingai!$C$2-1)-1),Rezultatai!$D$2:$D$500,"&lt;&gt;Papildomi (R+)")+MIN(SUMIFS(Rezultatai!$J$2:$J$500,Rezultatai!$B$2:$B$500,$K29,Rezultatai!$A$2:$A$500,((Reitingai!$C$2-1)-1),Rezultatai!$D$2:$D$500,"Papildomi (R+)"),0.15*(SUMIFS(Rezultatai!$J$2:$J$500,Rezultatai!$B$2:$B$500,$K29,Rezultatai!$A$2:$A$500,((Reitingai!$C$2-1)-1),Rezultatai!$D$2:$D$500,"&lt;&gt;Papildomi (R+)"))))*MIN(450,400+(1/70)*(SUMIFS(Parametrai!$B$2:$B$40,Parametrai!$A$2:$A$40,((Reitingai!$C$2-1)-1))-2500)),(SUMIFS(Rezultatai!$J$2:$J$500,Rezultatai!$B$2:$B$500,$K29,Rezultatai!$A$2:$A$500,(Reitingai!$C$2-1),Rezultatai!$D$2:$D$500,"&lt;&gt;Papildomi (R+)")+MIN(SUMIFS(Rezultatai!$J$2:$J$500,Rezultatai!$B$2:$B$500,$K29,Rezultatai!$A$2:$A$500,(Reitingai!$C$2-1),Rezultatai!$D$2:$D$500,"Papildomi (R+)"),0.15*(SUMIFS(Rezultatai!$J$2:$J$500,Rezultatai!$B$2:$B$500,$K29,Rezultatai!$A$2:$A$500,(Reitingai!$C$2-1),Rezultatai!$D$2:$D$500,"&lt;&gt;Papildomi (R+)"))))*MIN(550,450+(1/35)*(SUMIFS(Parametrai!$B$2:$B$40,Parametrai!$A$2:$A$40,(Reitingai!$C$2-1))-2500))))</f>
        <v>249.14855072463769</v>
      </c>
      <c r="O29" s="17">
        <f t="shared" si="8"/>
        <v>23</v>
      </c>
      <c r="P29" s="17">
        <f t="shared" si="9"/>
        <v>24</v>
      </c>
      <c r="Q29" s="17">
        <f>IF($K29="","",$O29+COUNTIF($O$6:$O29,$O29)-1)</f>
        <v>25</v>
      </c>
    </row>
    <row r="30" spans="1:17" ht="15" customHeight="1" x14ac:dyDescent="0.3">
      <c r="A30" s="13">
        <f>IFERROR(MATCH(25,$Q$6:$Q$105,0),"")</f>
        <v>24</v>
      </c>
      <c r="B30" s="13" t="str">
        <f t="shared" si="0"/>
        <v>Aidas Kasputis</v>
      </c>
      <c r="C30" s="13" t="str">
        <f t="shared" si="1"/>
        <v>Šiauliai</v>
      </c>
      <c r="D30" s="13">
        <f t="shared" si="2"/>
        <v>23</v>
      </c>
      <c r="E30" s="16">
        <f t="shared" si="3"/>
        <v>24</v>
      </c>
      <c r="F30" s="30">
        <f t="shared" si="4"/>
        <v>1</v>
      </c>
      <c r="G30" s="14">
        <f t="shared" si="5"/>
        <v>0</v>
      </c>
      <c r="H30" s="14">
        <f t="shared" si="6"/>
        <v>249.14855072463769</v>
      </c>
      <c r="I30" s="31">
        <f t="shared" si="7"/>
        <v>-249.14855072463769</v>
      </c>
      <c r="K30" s="17" t="str">
        <f>IF(Pilotai!B26="","",Pilotai!B26)</f>
        <v>Voldemars Gavars</v>
      </c>
      <c r="L30" s="17" t="str">
        <f>IF($K30="","",Pilotai!C26)</f>
        <v>Latvija</v>
      </c>
      <c r="M30" s="18">
        <f>IF($K30="","",IFERROR(INDEX(Reitingai!$G$6:$G$105,MATCH($K30,Reitingai!$B$6:$B$105,0)),0))</f>
        <v>106.68330755168049</v>
      </c>
      <c r="N30" s="18">
        <f>IF($K30="","",SUM((SUMIFS(Rezultatai!$J$2:$J$500,Rezultatai!$B$2:$B$500,$K30,Rezultatai!$A$2:$A$500,((Reitingai!$C$2-1)-2),Rezultatai!$D$2:$D$500,"&lt;&gt;Papildomi (R+)")+MIN(SUMIFS(Rezultatai!$J$2:$J$500,Rezultatai!$B$2:$B$500,$K30,Rezultatai!$A$2:$A$500,((Reitingai!$C$2-1)-2),Rezultatai!$D$2:$D$500,"Papildomi (R+)"),0.15*(SUMIFS(Rezultatai!$J$2:$J$500,Rezultatai!$B$2:$B$500,$K30,Rezultatai!$A$2:$A$500,((Reitingai!$C$2-1)-2),Rezultatai!$D$2:$D$500,"&lt;&gt;Papildomi (R+)"))))*MIN(425,375+(1/70)*(SUMIFS(Parametrai!$B$2:$B$40,Parametrai!$A$2:$A$40,((Reitingai!$C$2-1)-2))-2500)),(SUMIFS(Rezultatai!$J$2:$J$500,Rezultatai!$B$2:$B$500,$K30,Rezultatai!$A$2:$A$500,((Reitingai!$C$2-1)-1),Rezultatai!$D$2:$D$500,"&lt;&gt;Papildomi (R+)")+MIN(SUMIFS(Rezultatai!$J$2:$J$500,Rezultatai!$B$2:$B$500,$K30,Rezultatai!$A$2:$A$500,((Reitingai!$C$2-1)-1),Rezultatai!$D$2:$D$500,"Papildomi (R+)"),0.15*(SUMIFS(Rezultatai!$J$2:$J$500,Rezultatai!$B$2:$B$500,$K30,Rezultatai!$A$2:$A$500,((Reitingai!$C$2-1)-1),Rezultatai!$D$2:$D$500,"&lt;&gt;Papildomi (R+)"))))*MIN(450,400+(1/70)*(SUMIFS(Parametrai!$B$2:$B$40,Parametrai!$A$2:$A$40,((Reitingai!$C$2-1)-1))-2500)),(SUMIFS(Rezultatai!$J$2:$J$500,Rezultatai!$B$2:$B$500,$K30,Rezultatai!$A$2:$A$500,(Reitingai!$C$2-1),Rezultatai!$D$2:$D$500,"&lt;&gt;Papildomi (R+)")+MIN(SUMIFS(Rezultatai!$J$2:$J$500,Rezultatai!$B$2:$B$500,$K30,Rezultatai!$A$2:$A$500,(Reitingai!$C$2-1),Rezultatai!$D$2:$D$500,"Papildomi (R+)"),0.15*(SUMIFS(Rezultatai!$J$2:$J$500,Rezultatai!$B$2:$B$500,$K30,Rezultatai!$A$2:$A$500,(Reitingai!$C$2-1),Rezultatai!$D$2:$D$500,"&lt;&gt;Papildomi (R+)"))))*MIN(550,450+(1/35)*(SUMIFS(Parametrai!$B$2:$B$40,Parametrai!$A$2:$A$40,(Reitingai!$C$2-1))-2500)))-MIN((SUMIFS(Rezultatai!$J$2:$J$500,Rezultatai!$B$2:$B$500,$K30,Rezultatai!$A$2:$A$500,((Reitingai!$C$2-1)-2),Rezultatai!$D$2:$D$500,"&lt;&gt;Papildomi (R+)")+MIN(SUMIFS(Rezultatai!$J$2:$J$500,Rezultatai!$B$2:$B$500,$K30,Rezultatai!$A$2:$A$500,((Reitingai!$C$2-1)-2),Rezultatai!$D$2:$D$500,"Papildomi (R+)"),0.15*(SUMIFS(Rezultatai!$J$2:$J$500,Rezultatai!$B$2:$B$500,$K30,Rezultatai!$A$2:$A$500,((Reitingai!$C$2-1)-2),Rezultatai!$D$2:$D$500,"&lt;&gt;Papildomi (R+)"))))*MIN(425,375+(1/70)*(SUMIFS(Parametrai!$B$2:$B$40,Parametrai!$A$2:$A$40,((Reitingai!$C$2-1)-2))-2500)),(SUMIFS(Rezultatai!$J$2:$J$500,Rezultatai!$B$2:$B$500,$K30,Rezultatai!$A$2:$A$500,((Reitingai!$C$2-1)-1),Rezultatai!$D$2:$D$500,"&lt;&gt;Papildomi (R+)")+MIN(SUMIFS(Rezultatai!$J$2:$J$500,Rezultatai!$B$2:$B$500,$K30,Rezultatai!$A$2:$A$500,((Reitingai!$C$2-1)-1),Rezultatai!$D$2:$D$500,"Papildomi (R+)"),0.15*(SUMIFS(Rezultatai!$J$2:$J$500,Rezultatai!$B$2:$B$500,$K30,Rezultatai!$A$2:$A$500,((Reitingai!$C$2-1)-1),Rezultatai!$D$2:$D$500,"&lt;&gt;Papildomi (R+)"))))*MIN(450,400+(1/70)*(SUMIFS(Parametrai!$B$2:$B$40,Parametrai!$A$2:$A$40,((Reitingai!$C$2-1)-1))-2500)),(SUMIFS(Rezultatai!$J$2:$J$500,Rezultatai!$B$2:$B$500,$K30,Rezultatai!$A$2:$A$500,(Reitingai!$C$2-1),Rezultatai!$D$2:$D$500,"&lt;&gt;Papildomi (R+)")+MIN(SUMIFS(Rezultatai!$J$2:$J$500,Rezultatai!$B$2:$B$500,$K30,Rezultatai!$A$2:$A$500,(Reitingai!$C$2-1),Rezultatai!$D$2:$D$500,"Papildomi (R+)"),0.15*(SUMIFS(Rezultatai!$J$2:$J$500,Rezultatai!$B$2:$B$500,$K30,Rezultatai!$A$2:$A$500,(Reitingai!$C$2-1),Rezultatai!$D$2:$D$500,"&lt;&gt;Papildomi (R+)"))))*MIN(550,450+(1/35)*(SUMIFS(Parametrai!$B$2:$B$40,Parametrai!$A$2:$A$40,(Reitingai!$C$2-1))-2500))))</f>
        <v>248.15807159350993</v>
      </c>
      <c r="O30" s="17">
        <f t="shared" si="8"/>
        <v>22</v>
      </c>
      <c r="P30" s="17">
        <f t="shared" si="9"/>
        <v>25</v>
      </c>
      <c r="Q30" s="17">
        <f>IF($K30="","",$O30+COUNTIF($O$6:$O30,$O30)-1)</f>
        <v>22</v>
      </c>
    </row>
    <row r="31" spans="1:17" ht="15" customHeight="1" x14ac:dyDescent="0.3">
      <c r="A31" s="13">
        <f>IFERROR(MATCH(26,$Q$6:$Q$105,0),"")</f>
        <v>26</v>
      </c>
      <c r="B31" s="13" t="str">
        <f t="shared" si="0"/>
        <v>Tomas Kuzmickas</v>
      </c>
      <c r="C31" s="13" t="str">
        <f t="shared" si="1"/>
        <v>Vilniaus Aeroklubas</v>
      </c>
      <c r="D31" s="13">
        <f t="shared" si="2"/>
        <v>23</v>
      </c>
      <c r="E31" s="16">
        <f t="shared" si="3"/>
        <v>26</v>
      </c>
      <c r="F31" s="30">
        <f t="shared" si="4"/>
        <v>3</v>
      </c>
      <c r="G31" s="14">
        <f t="shared" si="5"/>
        <v>0</v>
      </c>
      <c r="H31" s="14">
        <f t="shared" si="6"/>
        <v>242.47584541062804</v>
      </c>
      <c r="I31" s="31">
        <f t="shared" si="7"/>
        <v>-242.47584541062804</v>
      </c>
      <c r="K31" s="17" t="str">
        <f>IF(Pilotai!B27="","",Pilotai!B27)</f>
        <v>Tomas Kuzmickas</v>
      </c>
      <c r="L31" s="17" t="str">
        <f>IF($K31="","",Pilotai!C27)</f>
        <v>Vilniaus Aeroklubas</v>
      </c>
      <c r="M31" s="18">
        <f>IF($K31="","",IFERROR(INDEX(Reitingai!$G$6:$G$105,MATCH($K31,Reitingai!$B$6:$B$105,0)),0))</f>
        <v>0</v>
      </c>
      <c r="N31" s="18">
        <f>IF($K31="","",SUM((SUMIFS(Rezultatai!$J$2:$J$500,Rezultatai!$B$2:$B$500,$K31,Rezultatai!$A$2:$A$500,((Reitingai!$C$2-1)-2),Rezultatai!$D$2:$D$500,"&lt;&gt;Papildomi (R+)")+MIN(SUMIFS(Rezultatai!$J$2:$J$500,Rezultatai!$B$2:$B$500,$K31,Rezultatai!$A$2:$A$500,((Reitingai!$C$2-1)-2),Rezultatai!$D$2:$D$500,"Papildomi (R+)"),0.15*(SUMIFS(Rezultatai!$J$2:$J$500,Rezultatai!$B$2:$B$500,$K31,Rezultatai!$A$2:$A$500,((Reitingai!$C$2-1)-2),Rezultatai!$D$2:$D$500,"&lt;&gt;Papildomi (R+)"))))*MIN(425,375+(1/70)*(SUMIFS(Parametrai!$B$2:$B$40,Parametrai!$A$2:$A$40,((Reitingai!$C$2-1)-2))-2500)),(SUMIFS(Rezultatai!$J$2:$J$500,Rezultatai!$B$2:$B$500,$K31,Rezultatai!$A$2:$A$500,((Reitingai!$C$2-1)-1),Rezultatai!$D$2:$D$500,"&lt;&gt;Papildomi (R+)")+MIN(SUMIFS(Rezultatai!$J$2:$J$500,Rezultatai!$B$2:$B$500,$K31,Rezultatai!$A$2:$A$500,((Reitingai!$C$2-1)-1),Rezultatai!$D$2:$D$500,"Papildomi (R+)"),0.15*(SUMIFS(Rezultatai!$J$2:$J$500,Rezultatai!$B$2:$B$500,$K31,Rezultatai!$A$2:$A$500,((Reitingai!$C$2-1)-1),Rezultatai!$D$2:$D$500,"&lt;&gt;Papildomi (R+)"))))*MIN(450,400+(1/70)*(SUMIFS(Parametrai!$B$2:$B$40,Parametrai!$A$2:$A$40,((Reitingai!$C$2-1)-1))-2500)),(SUMIFS(Rezultatai!$J$2:$J$500,Rezultatai!$B$2:$B$500,$K31,Rezultatai!$A$2:$A$500,(Reitingai!$C$2-1),Rezultatai!$D$2:$D$500,"&lt;&gt;Papildomi (R+)")+MIN(SUMIFS(Rezultatai!$J$2:$J$500,Rezultatai!$B$2:$B$500,$K31,Rezultatai!$A$2:$A$500,(Reitingai!$C$2-1),Rezultatai!$D$2:$D$500,"Papildomi (R+)"),0.15*(SUMIFS(Rezultatai!$J$2:$J$500,Rezultatai!$B$2:$B$500,$K31,Rezultatai!$A$2:$A$500,(Reitingai!$C$2-1),Rezultatai!$D$2:$D$500,"&lt;&gt;Papildomi (R+)"))))*MIN(550,450+(1/35)*(SUMIFS(Parametrai!$B$2:$B$40,Parametrai!$A$2:$A$40,(Reitingai!$C$2-1))-2500)))-MIN((SUMIFS(Rezultatai!$J$2:$J$500,Rezultatai!$B$2:$B$500,$K31,Rezultatai!$A$2:$A$500,((Reitingai!$C$2-1)-2),Rezultatai!$D$2:$D$500,"&lt;&gt;Papildomi (R+)")+MIN(SUMIFS(Rezultatai!$J$2:$J$500,Rezultatai!$B$2:$B$500,$K31,Rezultatai!$A$2:$A$500,((Reitingai!$C$2-1)-2),Rezultatai!$D$2:$D$500,"Papildomi (R+)"),0.15*(SUMIFS(Rezultatai!$J$2:$J$500,Rezultatai!$B$2:$B$500,$K31,Rezultatai!$A$2:$A$500,((Reitingai!$C$2-1)-2),Rezultatai!$D$2:$D$500,"&lt;&gt;Papildomi (R+)"))))*MIN(425,375+(1/70)*(SUMIFS(Parametrai!$B$2:$B$40,Parametrai!$A$2:$A$40,((Reitingai!$C$2-1)-2))-2500)),(SUMIFS(Rezultatai!$J$2:$J$500,Rezultatai!$B$2:$B$500,$K31,Rezultatai!$A$2:$A$500,((Reitingai!$C$2-1)-1),Rezultatai!$D$2:$D$500,"&lt;&gt;Papildomi (R+)")+MIN(SUMIFS(Rezultatai!$J$2:$J$500,Rezultatai!$B$2:$B$500,$K31,Rezultatai!$A$2:$A$500,((Reitingai!$C$2-1)-1),Rezultatai!$D$2:$D$500,"Papildomi (R+)"),0.15*(SUMIFS(Rezultatai!$J$2:$J$500,Rezultatai!$B$2:$B$500,$K31,Rezultatai!$A$2:$A$500,((Reitingai!$C$2-1)-1),Rezultatai!$D$2:$D$500,"&lt;&gt;Papildomi (R+)"))))*MIN(450,400+(1/70)*(SUMIFS(Parametrai!$B$2:$B$40,Parametrai!$A$2:$A$40,((Reitingai!$C$2-1)-1))-2500)),(SUMIFS(Rezultatai!$J$2:$J$500,Rezultatai!$B$2:$B$500,$K31,Rezultatai!$A$2:$A$500,(Reitingai!$C$2-1),Rezultatai!$D$2:$D$500,"&lt;&gt;Papildomi (R+)")+MIN(SUMIFS(Rezultatai!$J$2:$J$500,Rezultatai!$B$2:$B$500,$K31,Rezultatai!$A$2:$A$500,(Reitingai!$C$2-1),Rezultatai!$D$2:$D$500,"Papildomi (R+)"),0.15*(SUMIFS(Rezultatai!$J$2:$J$500,Rezultatai!$B$2:$B$500,$K31,Rezultatai!$A$2:$A$500,(Reitingai!$C$2-1),Rezultatai!$D$2:$D$500,"&lt;&gt;Papildomi (R+)"))))*MIN(550,450+(1/35)*(SUMIFS(Parametrai!$B$2:$B$40,Parametrai!$A$2:$A$40,(Reitingai!$C$2-1))-2500))))</f>
        <v>242.47584541062804</v>
      </c>
      <c r="O31" s="17">
        <f t="shared" si="8"/>
        <v>23</v>
      </c>
      <c r="P31" s="17">
        <f t="shared" si="9"/>
        <v>26</v>
      </c>
      <c r="Q31" s="17">
        <f>IF($K31="","",$O31+COUNTIF($O$6:$O31,$O31)-1)</f>
        <v>26</v>
      </c>
    </row>
    <row r="32" spans="1:17" ht="15" customHeight="1" x14ac:dyDescent="0.3">
      <c r="A32" s="13">
        <f>IFERROR(MATCH(27,$Q$6:$Q$105,0),"")</f>
        <v>27</v>
      </c>
      <c r="B32" s="13" t="str">
        <f t="shared" si="0"/>
        <v>Algirdas Šimoliunas</v>
      </c>
      <c r="C32" s="13" t="str">
        <f t="shared" si="1"/>
        <v>Panevėžys</v>
      </c>
      <c r="D32" s="13">
        <f t="shared" si="2"/>
        <v>23</v>
      </c>
      <c r="E32" s="16">
        <f t="shared" si="3"/>
        <v>27</v>
      </c>
      <c r="F32" s="30">
        <f t="shared" si="4"/>
        <v>4</v>
      </c>
      <c r="G32" s="14">
        <f t="shared" si="5"/>
        <v>0</v>
      </c>
      <c r="H32" s="14">
        <f t="shared" si="6"/>
        <v>191.19867149758454</v>
      </c>
      <c r="I32" s="31">
        <f t="shared" si="7"/>
        <v>-191.19867149758454</v>
      </c>
      <c r="K32" s="17" t="str">
        <f>IF(Pilotai!B28="","",Pilotai!B28)</f>
        <v>Algirdas Šimoliunas</v>
      </c>
      <c r="L32" s="17" t="str">
        <f>IF($K32="","",Pilotai!C28)</f>
        <v>Panevėžys</v>
      </c>
      <c r="M32" s="18">
        <f>IF($K32="","",IFERROR(INDEX(Reitingai!$G$6:$G$105,MATCH($K32,Reitingai!$B$6:$B$105,0)),0))</f>
        <v>0</v>
      </c>
      <c r="N32" s="18">
        <f>IF($K32="","",SUM((SUMIFS(Rezultatai!$J$2:$J$500,Rezultatai!$B$2:$B$500,$K32,Rezultatai!$A$2:$A$500,((Reitingai!$C$2-1)-2),Rezultatai!$D$2:$D$500,"&lt;&gt;Papildomi (R+)")+MIN(SUMIFS(Rezultatai!$J$2:$J$500,Rezultatai!$B$2:$B$500,$K32,Rezultatai!$A$2:$A$500,((Reitingai!$C$2-1)-2),Rezultatai!$D$2:$D$500,"Papildomi (R+)"),0.15*(SUMIFS(Rezultatai!$J$2:$J$500,Rezultatai!$B$2:$B$500,$K32,Rezultatai!$A$2:$A$500,((Reitingai!$C$2-1)-2),Rezultatai!$D$2:$D$500,"&lt;&gt;Papildomi (R+)"))))*MIN(425,375+(1/70)*(SUMIFS(Parametrai!$B$2:$B$40,Parametrai!$A$2:$A$40,((Reitingai!$C$2-1)-2))-2500)),(SUMIFS(Rezultatai!$J$2:$J$500,Rezultatai!$B$2:$B$500,$K32,Rezultatai!$A$2:$A$500,((Reitingai!$C$2-1)-1),Rezultatai!$D$2:$D$500,"&lt;&gt;Papildomi (R+)")+MIN(SUMIFS(Rezultatai!$J$2:$J$500,Rezultatai!$B$2:$B$500,$K32,Rezultatai!$A$2:$A$500,((Reitingai!$C$2-1)-1),Rezultatai!$D$2:$D$500,"Papildomi (R+)"),0.15*(SUMIFS(Rezultatai!$J$2:$J$500,Rezultatai!$B$2:$B$500,$K32,Rezultatai!$A$2:$A$500,((Reitingai!$C$2-1)-1),Rezultatai!$D$2:$D$500,"&lt;&gt;Papildomi (R+)"))))*MIN(450,400+(1/70)*(SUMIFS(Parametrai!$B$2:$B$40,Parametrai!$A$2:$A$40,((Reitingai!$C$2-1)-1))-2500)),(SUMIFS(Rezultatai!$J$2:$J$500,Rezultatai!$B$2:$B$500,$K32,Rezultatai!$A$2:$A$500,(Reitingai!$C$2-1),Rezultatai!$D$2:$D$500,"&lt;&gt;Papildomi (R+)")+MIN(SUMIFS(Rezultatai!$J$2:$J$500,Rezultatai!$B$2:$B$500,$K32,Rezultatai!$A$2:$A$500,(Reitingai!$C$2-1),Rezultatai!$D$2:$D$500,"Papildomi (R+)"),0.15*(SUMIFS(Rezultatai!$J$2:$J$500,Rezultatai!$B$2:$B$500,$K32,Rezultatai!$A$2:$A$500,(Reitingai!$C$2-1),Rezultatai!$D$2:$D$500,"&lt;&gt;Papildomi (R+)"))))*MIN(550,450+(1/35)*(SUMIFS(Parametrai!$B$2:$B$40,Parametrai!$A$2:$A$40,(Reitingai!$C$2-1))-2500)))-MIN((SUMIFS(Rezultatai!$J$2:$J$500,Rezultatai!$B$2:$B$500,$K32,Rezultatai!$A$2:$A$500,((Reitingai!$C$2-1)-2),Rezultatai!$D$2:$D$500,"&lt;&gt;Papildomi (R+)")+MIN(SUMIFS(Rezultatai!$J$2:$J$500,Rezultatai!$B$2:$B$500,$K32,Rezultatai!$A$2:$A$500,((Reitingai!$C$2-1)-2),Rezultatai!$D$2:$D$500,"Papildomi (R+)"),0.15*(SUMIFS(Rezultatai!$J$2:$J$500,Rezultatai!$B$2:$B$500,$K32,Rezultatai!$A$2:$A$500,((Reitingai!$C$2-1)-2),Rezultatai!$D$2:$D$500,"&lt;&gt;Papildomi (R+)"))))*MIN(425,375+(1/70)*(SUMIFS(Parametrai!$B$2:$B$40,Parametrai!$A$2:$A$40,((Reitingai!$C$2-1)-2))-2500)),(SUMIFS(Rezultatai!$J$2:$J$500,Rezultatai!$B$2:$B$500,$K32,Rezultatai!$A$2:$A$500,((Reitingai!$C$2-1)-1),Rezultatai!$D$2:$D$500,"&lt;&gt;Papildomi (R+)")+MIN(SUMIFS(Rezultatai!$J$2:$J$500,Rezultatai!$B$2:$B$500,$K32,Rezultatai!$A$2:$A$500,((Reitingai!$C$2-1)-1),Rezultatai!$D$2:$D$500,"Papildomi (R+)"),0.15*(SUMIFS(Rezultatai!$J$2:$J$500,Rezultatai!$B$2:$B$500,$K32,Rezultatai!$A$2:$A$500,((Reitingai!$C$2-1)-1),Rezultatai!$D$2:$D$500,"&lt;&gt;Papildomi (R+)"))))*MIN(450,400+(1/70)*(SUMIFS(Parametrai!$B$2:$B$40,Parametrai!$A$2:$A$40,((Reitingai!$C$2-1)-1))-2500)),(SUMIFS(Rezultatai!$J$2:$J$500,Rezultatai!$B$2:$B$500,$K32,Rezultatai!$A$2:$A$500,(Reitingai!$C$2-1),Rezultatai!$D$2:$D$500,"&lt;&gt;Papildomi (R+)")+MIN(SUMIFS(Rezultatai!$J$2:$J$500,Rezultatai!$B$2:$B$500,$K32,Rezultatai!$A$2:$A$500,(Reitingai!$C$2-1),Rezultatai!$D$2:$D$500,"Papildomi (R+)"),0.15*(SUMIFS(Rezultatai!$J$2:$J$500,Rezultatai!$B$2:$B$500,$K32,Rezultatai!$A$2:$A$500,(Reitingai!$C$2-1),Rezultatai!$D$2:$D$500,"&lt;&gt;Papildomi (R+)"))))*MIN(550,450+(1/35)*(SUMIFS(Parametrai!$B$2:$B$40,Parametrai!$A$2:$A$40,(Reitingai!$C$2-1))-2500))))</f>
        <v>191.19867149758454</v>
      </c>
      <c r="O32" s="17">
        <f t="shared" si="8"/>
        <v>23</v>
      </c>
      <c r="P32" s="17">
        <f t="shared" si="9"/>
        <v>27</v>
      </c>
      <c r="Q32" s="17">
        <f>IF($K32="","",$O32+COUNTIF($O$6:$O32,$O32)-1)</f>
        <v>27</v>
      </c>
    </row>
    <row r="33" spans="1:17" ht="15" customHeight="1" x14ac:dyDescent="0.3">
      <c r="A33" s="13">
        <f>IFERROR(MATCH(28,$Q$6:$Q$105,0),"")</f>
        <v>28</v>
      </c>
      <c r="B33" s="13" t="str">
        <f t="shared" si="0"/>
        <v>Donatas Povilionis</v>
      </c>
      <c r="C33" s="13" t="str">
        <f t="shared" si="1"/>
        <v>Vilniaus Aeroklubas</v>
      </c>
      <c r="D33" s="13">
        <f t="shared" si="2"/>
        <v>23</v>
      </c>
      <c r="E33" s="16">
        <f t="shared" si="3"/>
        <v>28</v>
      </c>
      <c r="F33" s="30">
        <f t="shared" si="4"/>
        <v>5</v>
      </c>
      <c r="G33" s="14">
        <f t="shared" si="5"/>
        <v>0</v>
      </c>
      <c r="H33" s="14">
        <f t="shared" si="6"/>
        <v>190.018115942029</v>
      </c>
      <c r="I33" s="31">
        <f t="shared" si="7"/>
        <v>-190.018115942029</v>
      </c>
      <c r="K33" s="17" t="str">
        <f>IF(Pilotai!B29="","",Pilotai!B29)</f>
        <v>Donatas Povilionis</v>
      </c>
      <c r="L33" s="17" t="str">
        <f>IF($K33="","",Pilotai!C29)</f>
        <v>Vilniaus Aeroklubas</v>
      </c>
      <c r="M33" s="18">
        <f>IF($K33="","",IFERROR(INDEX(Reitingai!$G$6:$G$105,MATCH($K33,Reitingai!$B$6:$B$105,0)),0))</f>
        <v>0</v>
      </c>
      <c r="N33" s="18">
        <f>IF($K33="","",SUM((SUMIFS(Rezultatai!$J$2:$J$500,Rezultatai!$B$2:$B$500,$K33,Rezultatai!$A$2:$A$500,((Reitingai!$C$2-1)-2),Rezultatai!$D$2:$D$500,"&lt;&gt;Papildomi (R+)")+MIN(SUMIFS(Rezultatai!$J$2:$J$500,Rezultatai!$B$2:$B$500,$K33,Rezultatai!$A$2:$A$500,((Reitingai!$C$2-1)-2),Rezultatai!$D$2:$D$500,"Papildomi (R+)"),0.15*(SUMIFS(Rezultatai!$J$2:$J$500,Rezultatai!$B$2:$B$500,$K33,Rezultatai!$A$2:$A$500,((Reitingai!$C$2-1)-2),Rezultatai!$D$2:$D$500,"&lt;&gt;Papildomi (R+)"))))*MIN(425,375+(1/70)*(SUMIFS(Parametrai!$B$2:$B$40,Parametrai!$A$2:$A$40,((Reitingai!$C$2-1)-2))-2500)),(SUMIFS(Rezultatai!$J$2:$J$500,Rezultatai!$B$2:$B$500,$K33,Rezultatai!$A$2:$A$500,((Reitingai!$C$2-1)-1),Rezultatai!$D$2:$D$500,"&lt;&gt;Papildomi (R+)")+MIN(SUMIFS(Rezultatai!$J$2:$J$500,Rezultatai!$B$2:$B$500,$K33,Rezultatai!$A$2:$A$500,((Reitingai!$C$2-1)-1),Rezultatai!$D$2:$D$500,"Papildomi (R+)"),0.15*(SUMIFS(Rezultatai!$J$2:$J$500,Rezultatai!$B$2:$B$500,$K33,Rezultatai!$A$2:$A$500,((Reitingai!$C$2-1)-1),Rezultatai!$D$2:$D$500,"&lt;&gt;Papildomi (R+)"))))*MIN(450,400+(1/70)*(SUMIFS(Parametrai!$B$2:$B$40,Parametrai!$A$2:$A$40,((Reitingai!$C$2-1)-1))-2500)),(SUMIFS(Rezultatai!$J$2:$J$500,Rezultatai!$B$2:$B$500,$K33,Rezultatai!$A$2:$A$500,(Reitingai!$C$2-1),Rezultatai!$D$2:$D$500,"&lt;&gt;Papildomi (R+)")+MIN(SUMIFS(Rezultatai!$J$2:$J$500,Rezultatai!$B$2:$B$500,$K33,Rezultatai!$A$2:$A$500,(Reitingai!$C$2-1),Rezultatai!$D$2:$D$500,"Papildomi (R+)"),0.15*(SUMIFS(Rezultatai!$J$2:$J$500,Rezultatai!$B$2:$B$500,$K33,Rezultatai!$A$2:$A$500,(Reitingai!$C$2-1),Rezultatai!$D$2:$D$500,"&lt;&gt;Papildomi (R+)"))))*MIN(550,450+(1/35)*(SUMIFS(Parametrai!$B$2:$B$40,Parametrai!$A$2:$A$40,(Reitingai!$C$2-1))-2500)))-MIN((SUMIFS(Rezultatai!$J$2:$J$500,Rezultatai!$B$2:$B$500,$K33,Rezultatai!$A$2:$A$500,((Reitingai!$C$2-1)-2),Rezultatai!$D$2:$D$500,"&lt;&gt;Papildomi (R+)")+MIN(SUMIFS(Rezultatai!$J$2:$J$500,Rezultatai!$B$2:$B$500,$K33,Rezultatai!$A$2:$A$500,((Reitingai!$C$2-1)-2),Rezultatai!$D$2:$D$500,"Papildomi (R+)"),0.15*(SUMIFS(Rezultatai!$J$2:$J$500,Rezultatai!$B$2:$B$500,$K33,Rezultatai!$A$2:$A$500,((Reitingai!$C$2-1)-2),Rezultatai!$D$2:$D$500,"&lt;&gt;Papildomi (R+)"))))*MIN(425,375+(1/70)*(SUMIFS(Parametrai!$B$2:$B$40,Parametrai!$A$2:$A$40,((Reitingai!$C$2-1)-2))-2500)),(SUMIFS(Rezultatai!$J$2:$J$500,Rezultatai!$B$2:$B$500,$K33,Rezultatai!$A$2:$A$500,((Reitingai!$C$2-1)-1),Rezultatai!$D$2:$D$500,"&lt;&gt;Papildomi (R+)")+MIN(SUMIFS(Rezultatai!$J$2:$J$500,Rezultatai!$B$2:$B$500,$K33,Rezultatai!$A$2:$A$500,((Reitingai!$C$2-1)-1),Rezultatai!$D$2:$D$500,"Papildomi (R+)"),0.15*(SUMIFS(Rezultatai!$J$2:$J$500,Rezultatai!$B$2:$B$500,$K33,Rezultatai!$A$2:$A$500,((Reitingai!$C$2-1)-1),Rezultatai!$D$2:$D$500,"&lt;&gt;Papildomi (R+)"))))*MIN(450,400+(1/70)*(SUMIFS(Parametrai!$B$2:$B$40,Parametrai!$A$2:$A$40,((Reitingai!$C$2-1)-1))-2500)),(SUMIFS(Rezultatai!$J$2:$J$500,Rezultatai!$B$2:$B$500,$K33,Rezultatai!$A$2:$A$500,(Reitingai!$C$2-1),Rezultatai!$D$2:$D$500,"&lt;&gt;Papildomi (R+)")+MIN(SUMIFS(Rezultatai!$J$2:$J$500,Rezultatai!$B$2:$B$500,$K33,Rezultatai!$A$2:$A$500,(Reitingai!$C$2-1),Rezultatai!$D$2:$D$500,"Papildomi (R+)"),0.15*(SUMIFS(Rezultatai!$J$2:$J$500,Rezultatai!$B$2:$B$500,$K33,Rezultatai!$A$2:$A$500,(Reitingai!$C$2-1),Rezultatai!$D$2:$D$500,"&lt;&gt;Papildomi (R+)"))))*MIN(550,450+(1/35)*(SUMIFS(Parametrai!$B$2:$B$40,Parametrai!$A$2:$A$40,(Reitingai!$C$2-1))-2500))))</f>
        <v>190.018115942029</v>
      </c>
      <c r="O33" s="17">
        <f t="shared" si="8"/>
        <v>23</v>
      </c>
      <c r="P33" s="17">
        <f t="shared" si="9"/>
        <v>28</v>
      </c>
      <c r="Q33" s="17">
        <f>IF($K33="","",$O33+COUNTIF($O$6:$O33,$O33)-1)</f>
        <v>28</v>
      </c>
    </row>
    <row r="34" spans="1:17" ht="15" customHeight="1" x14ac:dyDescent="0.3">
      <c r="A34" s="13">
        <f>IFERROR(MATCH(29,$Q$6:$Q$105,0),"")</f>
        <v>29</v>
      </c>
      <c r="B34" s="13" t="str">
        <f t="shared" si="0"/>
        <v>Ainis Bagdonas</v>
      </c>
      <c r="C34" s="13" t="str">
        <f t="shared" si="1"/>
        <v>Telšiai</v>
      </c>
      <c r="D34" s="13">
        <f t="shared" si="2"/>
        <v>23</v>
      </c>
      <c r="E34" s="16">
        <f t="shared" si="3"/>
        <v>29</v>
      </c>
      <c r="F34" s="30">
        <f t="shared" si="4"/>
        <v>6</v>
      </c>
      <c r="G34" s="14">
        <f t="shared" si="5"/>
        <v>0</v>
      </c>
      <c r="H34" s="14">
        <f t="shared" si="6"/>
        <v>55.845410628019323</v>
      </c>
      <c r="I34" s="31">
        <f t="shared" si="7"/>
        <v>-55.845410628019323</v>
      </c>
      <c r="K34" s="17" t="str">
        <f>IF(Pilotai!B30="","",Pilotai!B30)</f>
        <v>Ainis Bagdonas</v>
      </c>
      <c r="L34" s="17" t="str">
        <f>IF($K34="","",Pilotai!C30)</f>
        <v>Telšiai</v>
      </c>
      <c r="M34" s="18">
        <f>IF($K34="","",IFERROR(INDEX(Reitingai!$G$6:$G$105,MATCH($K34,Reitingai!$B$6:$B$105,0)),0))</f>
        <v>0</v>
      </c>
      <c r="N34" s="18">
        <f>IF($K34="","",SUM((SUMIFS(Rezultatai!$J$2:$J$500,Rezultatai!$B$2:$B$500,$K34,Rezultatai!$A$2:$A$500,((Reitingai!$C$2-1)-2),Rezultatai!$D$2:$D$500,"&lt;&gt;Papildomi (R+)")+MIN(SUMIFS(Rezultatai!$J$2:$J$500,Rezultatai!$B$2:$B$500,$K34,Rezultatai!$A$2:$A$500,((Reitingai!$C$2-1)-2),Rezultatai!$D$2:$D$500,"Papildomi (R+)"),0.15*(SUMIFS(Rezultatai!$J$2:$J$500,Rezultatai!$B$2:$B$500,$K34,Rezultatai!$A$2:$A$500,((Reitingai!$C$2-1)-2),Rezultatai!$D$2:$D$500,"&lt;&gt;Papildomi (R+)"))))*MIN(425,375+(1/70)*(SUMIFS(Parametrai!$B$2:$B$40,Parametrai!$A$2:$A$40,((Reitingai!$C$2-1)-2))-2500)),(SUMIFS(Rezultatai!$J$2:$J$500,Rezultatai!$B$2:$B$500,$K34,Rezultatai!$A$2:$A$500,((Reitingai!$C$2-1)-1),Rezultatai!$D$2:$D$500,"&lt;&gt;Papildomi (R+)")+MIN(SUMIFS(Rezultatai!$J$2:$J$500,Rezultatai!$B$2:$B$500,$K34,Rezultatai!$A$2:$A$500,((Reitingai!$C$2-1)-1),Rezultatai!$D$2:$D$500,"Papildomi (R+)"),0.15*(SUMIFS(Rezultatai!$J$2:$J$500,Rezultatai!$B$2:$B$500,$K34,Rezultatai!$A$2:$A$500,((Reitingai!$C$2-1)-1),Rezultatai!$D$2:$D$500,"&lt;&gt;Papildomi (R+)"))))*MIN(450,400+(1/70)*(SUMIFS(Parametrai!$B$2:$B$40,Parametrai!$A$2:$A$40,((Reitingai!$C$2-1)-1))-2500)),(SUMIFS(Rezultatai!$J$2:$J$500,Rezultatai!$B$2:$B$500,$K34,Rezultatai!$A$2:$A$500,(Reitingai!$C$2-1),Rezultatai!$D$2:$D$500,"&lt;&gt;Papildomi (R+)")+MIN(SUMIFS(Rezultatai!$J$2:$J$500,Rezultatai!$B$2:$B$500,$K34,Rezultatai!$A$2:$A$500,(Reitingai!$C$2-1),Rezultatai!$D$2:$D$500,"Papildomi (R+)"),0.15*(SUMIFS(Rezultatai!$J$2:$J$500,Rezultatai!$B$2:$B$500,$K34,Rezultatai!$A$2:$A$500,(Reitingai!$C$2-1),Rezultatai!$D$2:$D$500,"&lt;&gt;Papildomi (R+)"))))*MIN(550,450+(1/35)*(SUMIFS(Parametrai!$B$2:$B$40,Parametrai!$A$2:$A$40,(Reitingai!$C$2-1))-2500)))-MIN((SUMIFS(Rezultatai!$J$2:$J$500,Rezultatai!$B$2:$B$500,$K34,Rezultatai!$A$2:$A$500,((Reitingai!$C$2-1)-2),Rezultatai!$D$2:$D$500,"&lt;&gt;Papildomi (R+)")+MIN(SUMIFS(Rezultatai!$J$2:$J$500,Rezultatai!$B$2:$B$500,$K34,Rezultatai!$A$2:$A$500,((Reitingai!$C$2-1)-2),Rezultatai!$D$2:$D$500,"Papildomi (R+)"),0.15*(SUMIFS(Rezultatai!$J$2:$J$500,Rezultatai!$B$2:$B$500,$K34,Rezultatai!$A$2:$A$500,((Reitingai!$C$2-1)-2),Rezultatai!$D$2:$D$500,"&lt;&gt;Papildomi (R+)"))))*MIN(425,375+(1/70)*(SUMIFS(Parametrai!$B$2:$B$40,Parametrai!$A$2:$A$40,((Reitingai!$C$2-1)-2))-2500)),(SUMIFS(Rezultatai!$J$2:$J$500,Rezultatai!$B$2:$B$500,$K34,Rezultatai!$A$2:$A$500,((Reitingai!$C$2-1)-1),Rezultatai!$D$2:$D$500,"&lt;&gt;Papildomi (R+)")+MIN(SUMIFS(Rezultatai!$J$2:$J$500,Rezultatai!$B$2:$B$500,$K34,Rezultatai!$A$2:$A$500,((Reitingai!$C$2-1)-1),Rezultatai!$D$2:$D$500,"Papildomi (R+)"),0.15*(SUMIFS(Rezultatai!$J$2:$J$500,Rezultatai!$B$2:$B$500,$K34,Rezultatai!$A$2:$A$500,((Reitingai!$C$2-1)-1),Rezultatai!$D$2:$D$500,"&lt;&gt;Papildomi (R+)"))))*MIN(450,400+(1/70)*(SUMIFS(Parametrai!$B$2:$B$40,Parametrai!$A$2:$A$40,((Reitingai!$C$2-1)-1))-2500)),(SUMIFS(Rezultatai!$J$2:$J$500,Rezultatai!$B$2:$B$500,$K34,Rezultatai!$A$2:$A$500,(Reitingai!$C$2-1),Rezultatai!$D$2:$D$500,"&lt;&gt;Papildomi (R+)")+MIN(SUMIFS(Rezultatai!$J$2:$J$500,Rezultatai!$B$2:$B$500,$K34,Rezultatai!$A$2:$A$500,(Reitingai!$C$2-1),Rezultatai!$D$2:$D$500,"Papildomi (R+)"),0.15*(SUMIFS(Rezultatai!$J$2:$J$500,Rezultatai!$B$2:$B$500,$K34,Rezultatai!$A$2:$A$500,(Reitingai!$C$2-1),Rezultatai!$D$2:$D$500,"&lt;&gt;Papildomi (R+)"))))*MIN(550,450+(1/35)*(SUMIFS(Parametrai!$B$2:$B$40,Parametrai!$A$2:$A$40,(Reitingai!$C$2-1))-2500))))</f>
        <v>55.845410628019323</v>
      </c>
      <c r="O34" s="17">
        <f t="shared" si="8"/>
        <v>23</v>
      </c>
      <c r="P34" s="17">
        <f t="shared" si="9"/>
        <v>29</v>
      </c>
      <c r="Q34" s="17">
        <f>IF($K34="","",$O34+COUNTIF($O$6:$O34,$O34)-1)</f>
        <v>29</v>
      </c>
    </row>
    <row r="35" spans="1:17" ht="15" customHeight="1" x14ac:dyDescent="0.3">
      <c r="A35" s="13">
        <f>IFERROR(MATCH(30,$Q$6:$Q$105,0),"")</f>
        <v>30</v>
      </c>
      <c r="B35" s="13" t="str">
        <f t="shared" si="0"/>
        <v>Stasys Skalskis</v>
      </c>
      <c r="C35" s="13" t="str">
        <f t="shared" si="1"/>
        <v>Kauno AASK</v>
      </c>
      <c r="D35" s="13">
        <f t="shared" si="2"/>
        <v>23</v>
      </c>
      <c r="E35" s="16">
        <f t="shared" si="3"/>
        <v>30</v>
      </c>
      <c r="F35" s="30">
        <f t="shared" si="4"/>
        <v>7</v>
      </c>
      <c r="G35" s="14">
        <f t="shared" si="5"/>
        <v>0</v>
      </c>
      <c r="H35" s="14">
        <f t="shared" si="6"/>
        <v>0</v>
      </c>
      <c r="I35" s="31">
        <f t="shared" si="7"/>
        <v>0</v>
      </c>
      <c r="K35" s="17" t="str">
        <f>IF(Pilotai!B31="","",Pilotai!B31)</f>
        <v>Stasys Skalskis</v>
      </c>
      <c r="L35" s="17" t="str">
        <f>IF($K35="","",Pilotai!C31)</f>
        <v>Kauno AASK</v>
      </c>
      <c r="M35" s="18">
        <f>IF($K35="","",IFERROR(INDEX(Reitingai!$G$6:$G$105,MATCH($K35,Reitingai!$B$6:$B$105,0)),0))</f>
        <v>0</v>
      </c>
      <c r="N35" s="18">
        <f>IF($K35="","",SUM((SUMIFS(Rezultatai!$J$2:$J$500,Rezultatai!$B$2:$B$500,$K35,Rezultatai!$A$2:$A$500,((Reitingai!$C$2-1)-2),Rezultatai!$D$2:$D$500,"&lt;&gt;Papildomi (R+)")+MIN(SUMIFS(Rezultatai!$J$2:$J$500,Rezultatai!$B$2:$B$500,$K35,Rezultatai!$A$2:$A$500,((Reitingai!$C$2-1)-2),Rezultatai!$D$2:$D$500,"Papildomi (R+)"),0.15*(SUMIFS(Rezultatai!$J$2:$J$500,Rezultatai!$B$2:$B$500,$K35,Rezultatai!$A$2:$A$500,((Reitingai!$C$2-1)-2),Rezultatai!$D$2:$D$500,"&lt;&gt;Papildomi (R+)"))))*MIN(425,375+(1/70)*(SUMIFS(Parametrai!$B$2:$B$40,Parametrai!$A$2:$A$40,((Reitingai!$C$2-1)-2))-2500)),(SUMIFS(Rezultatai!$J$2:$J$500,Rezultatai!$B$2:$B$500,$K35,Rezultatai!$A$2:$A$500,((Reitingai!$C$2-1)-1),Rezultatai!$D$2:$D$500,"&lt;&gt;Papildomi (R+)")+MIN(SUMIFS(Rezultatai!$J$2:$J$500,Rezultatai!$B$2:$B$500,$K35,Rezultatai!$A$2:$A$500,((Reitingai!$C$2-1)-1),Rezultatai!$D$2:$D$500,"Papildomi (R+)"),0.15*(SUMIFS(Rezultatai!$J$2:$J$500,Rezultatai!$B$2:$B$500,$K35,Rezultatai!$A$2:$A$500,((Reitingai!$C$2-1)-1),Rezultatai!$D$2:$D$500,"&lt;&gt;Papildomi (R+)"))))*MIN(450,400+(1/70)*(SUMIFS(Parametrai!$B$2:$B$40,Parametrai!$A$2:$A$40,((Reitingai!$C$2-1)-1))-2500)),(SUMIFS(Rezultatai!$J$2:$J$500,Rezultatai!$B$2:$B$500,$K35,Rezultatai!$A$2:$A$500,(Reitingai!$C$2-1),Rezultatai!$D$2:$D$500,"&lt;&gt;Papildomi (R+)")+MIN(SUMIFS(Rezultatai!$J$2:$J$500,Rezultatai!$B$2:$B$500,$K35,Rezultatai!$A$2:$A$500,(Reitingai!$C$2-1),Rezultatai!$D$2:$D$500,"Papildomi (R+)"),0.15*(SUMIFS(Rezultatai!$J$2:$J$500,Rezultatai!$B$2:$B$500,$K35,Rezultatai!$A$2:$A$500,(Reitingai!$C$2-1),Rezultatai!$D$2:$D$500,"&lt;&gt;Papildomi (R+)"))))*MIN(550,450+(1/35)*(SUMIFS(Parametrai!$B$2:$B$40,Parametrai!$A$2:$A$40,(Reitingai!$C$2-1))-2500)))-MIN((SUMIFS(Rezultatai!$J$2:$J$500,Rezultatai!$B$2:$B$500,$K35,Rezultatai!$A$2:$A$500,((Reitingai!$C$2-1)-2),Rezultatai!$D$2:$D$500,"&lt;&gt;Papildomi (R+)")+MIN(SUMIFS(Rezultatai!$J$2:$J$500,Rezultatai!$B$2:$B$500,$K35,Rezultatai!$A$2:$A$500,((Reitingai!$C$2-1)-2),Rezultatai!$D$2:$D$500,"Papildomi (R+)"),0.15*(SUMIFS(Rezultatai!$J$2:$J$500,Rezultatai!$B$2:$B$500,$K35,Rezultatai!$A$2:$A$500,((Reitingai!$C$2-1)-2),Rezultatai!$D$2:$D$500,"&lt;&gt;Papildomi (R+)"))))*MIN(425,375+(1/70)*(SUMIFS(Parametrai!$B$2:$B$40,Parametrai!$A$2:$A$40,((Reitingai!$C$2-1)-2))-2500)),(SUMIFS(Rezultatai!$J$2:$J$500,Rezultatai!$B$2:$B$500,$K35,Rezultatai!$A$2:$A$500,((Reitingai!$C$2-1)-1),Rezultatai!$D$2:$D$500,"&lt;&gt;Papildomi (R+)")+MIN(SUMIFS(Rezultatai!$J$2:$J$500,Rezultatai!$B$2:$B$500,$K35,Rezultatai!$A$2:$A$500,((Reitingai!$C$2-1)-1),Rezultatai!$D$2:$D$500,"Papildomi (R+)"),0.15*(SUMIFS(Rezultatai!$J$2:$J$500,Rezultatai!$B$2:$B$500,$K35,Rezultatai!$A$2:$A$500,((Reitingai!$C$2-1)-1),Rezultatai!$D$2:$D$500,"&lt;&gt;Papildomi (R+)"))))*MIN(450,400+(1/70)*(SUMIFS(Parametrai!$B$2:$B$40,Parametrai!$A$2:$A$40,((Reitingai!$C$2-1)-1))-2500)),(SUMIFS(Rezultatai!$J$2:$J$500,Rezultatai!$B$2:$B$500,$K35,Rezultatai!$A$2:$A$500,(Reitingai!$C$2-1),Rezultatai!$D$2:$D$500,"&lt;&gt;Papildomi (R+)")+MIN(SUMIFS(Rezultatai!$J$2:$J$500,Rezultatai!$B$2:$B$500,$K35,Rezultatai!$A$2:$A$500,(Reitingai!$C$2-1),Rezultatai!$D$2:$D$500,"Papildomi (R+)"),0.15*(SUMIFS(Rezultatai!$J$2:$J$500,Rezultatai!$B$2:$B$500,$K35,Rezultatai!$A$2:$A$500,(Reitingai!$C$2-1),Rezultatai!$D$2:$D$500,"&lt;&gt;Papildomi (R+)"))))*MIN(550,450+(1/35)*(SUMIFS(Parametrai!$B$2:$B$40,Parametrai!$A$2:$A$40,(Reitingai!$C$2-1))-2500))))</f>
        <v>0</v>
      </c>
      <c r="O35" s="17">
        <f t="shared" si="8"/>
        <v>23</v>
      </c>
      <c r="P35" s="17">
        <f t="shared" si="9"/>
        <v>30</v>
      </c>
      <c r="Q35" s="17">
        <f>IF($K35="","",$O35+COUNTIF($O$6:$O35,$O35)-1)</f>
        <v>30</v>
      </c>
    </row>
    <row r="36" spans="1:17" ht="15" customHeight="1" x14ac:dyDescent="0.3">
      <c r="A36" s="13">
        <f>IFERROR(MATCH(31,$Q$6:$Q$105,0),"")</f>
        <v>31</v>
      </c>
      <c r="B36" s="13" t="str">
        <f t="shared" si="0"/>
        <v>Vytautas Mačiulis</v>
      </c>
      <c r="C36" s="13" t="str">
        <f t="shared" si="1"/>
        <v>Kauno AASK</v>
      </c>
      <c r="D36" s="13">
        <f t="shared" si="2"/>
        <v>23</v>
      </c>
      <c r="E36" s="16">
        <f t="shared" si="3"/>
        <v>30</v>
      </c>
      <c r="F36" s="30">
        <f t="shared" si="4"/>
        <v>7</v>
      </c>
      <c r="G36" s="14">
        <f t="shared" si="5"/>
        <v>0</v>
      </c>
      <c r="H36" s="14">
        <f t="shared" si="6"/>
        <v>0</v>
      </c>
      <c r="I36" s="31">
        <f t="shared" si="7"/>
        <v>0</v>
      </c>
      <c r="K36" s="17" t="str">
        <f>IF(Pilotai!B32="","",Pilotai!B32)</f>
        <v>Vytautas Mačiulis</v>
      </c>
      <c r="L36" s="17" t="str">
        <f>IF($K36="","",Pilotai!C32)</f>
        <v>Kauno AASK</v>
      </c>
      <c r="M36" s="18">
        <f>IF($K36="","",IFERROR(INDEX(Reitingai!$G$6:$G$105,MATCH($K36,Reitingai!$B$6:$B$105,0)),0))</f>
        <v>0</v>
      </c>
      <c r="N36" s="18">
        <f>IF($K36="","",SUM((SUMIFS(Rezultatai!$J$2:$J$500,Rezultatai!$B$2:$B$500,$K36,Rezultatai!$A$2:$A$500,((Reitingai!$C$2-1)-2),Rezultatai!$D$2:$D$500,"&lt;&gt;Papildomi (R+)")+MIN(SUMIFS(Rezultatai!$J$2:$J$500,Rezultatai!$B$2:$B$500,$K36,Rezultatai!$A$2:$A$500,((Reitingai!$C$2-1)-2),Rezultatai!$D$2:$D$500,"Papildomi (R+)"),0.15*(SUMIFS(Rezultatai!$J$2:$J$500,Rezultatai!$B$2:$B$500,$K36,Rezultatai!$A$2:$A$500,((Reitingai!$C$2-1)-2),Rezultatai!$D$2:$D$500,"&lt;&gt;Papildomi (R+)"))))*MIN(425,375+(1/70)*(SUMIFS(Parametrai!$B$2:$B$40,Parametrai!$A$2:$A$40,((Reitingai!$C$2-1)-2))-2500)),(SUMIFS(Rezultatai!$J$2:$J$500,Rezultatai!$B$2:$B$500,$K36,Rezultatai!$A$2:$A$500,((Reitingai!$C$2-1)-1),Rezultatai!$D$2:$D$500,"&lt;&gt;Papildomi (R+)")+MIN(SUMIFS(Rezultatai!$J$2:$J$500,Rezultatai!$B$2:$B$500,$K36,Rezultatai!$A$2:$A$500,((Reitingai!$C$2-1)-1),Rezultatai!$D$2:$D$500,"Papildomi (R+)"),0.15*(SUMIFS(Rezultatai!$J$2:$J$500,Rezultatai!$B$2:$B$500,$K36,Rezultatai!$A$2:$A$500,((Reitingai!$C$2-1)-1),Rezultatai!$D$2:$D$500,"&lt;&gt;Papildomi (R+)"))))*MIN(450,400+(1/70)*(SUMIFS(Parametrai!$B$2:$B$40,Parametrai!$A$2:$A$40,((Reitingai!$C$2-1)-1))-2500)),(SUMIFS(Rezultatai!$J$2:$J$500,Rezultatai!$B$2:$B$500,$K36,Rezultatai!$A$2:$A$500,(Reitingai!$C$2-1),Rezultatai!$D$2:$D$500,"&lt;&gt;Papildomi (R+)")+MIN(SUMIFS(Rezultatai!$J$2:$J$500,Rezultatai!$B$2:$B$500,$K36,Rezultatai!$A$2:$A$500,(Reitingai!$C$2-1),Rezultatai!$D$2:$D$500,"Papildomi (R+)"),0.15*(SUMIFS(Rezultatai!$J$2:$J$500,Rezultatai!$B$2:$B$500,$K36,Rezultatai!$A$2:$A$500,(Reitingai!$C$2-1),Rezultatai!$D$2:$D$500,"&lt;&gt;Papildomi (R+)"))))*MIN(550,450+(1/35)*(SUMIFS(Parametrai!$B$2:$B$40,Parametrai!$A$2:$A$40,(Reitingai!$C$2-1))-2500)))-MIN((SUMIFS(Rezultatai!$J$2:$J$500,Rezultatai!$B$2:$B$500,$K36,Rezultatai!$A$2:$A$500,((Reitingai!$C$2-1)-2),Rezultatai!$D$2:$D$500,"&lt;&gt;Papildomi (R+)")+MIN(SUMIFS(Rezultatai!$J$2:$J$500,Rezultatai!$B$2:$B$500,$K36,Rezultatai!$A$2:$A$500,((Reitingai!$C$2-1)-2),Rezultatai!$D$2:$D$500,"Papildomi (R+)"),0.15*(SUMIFS(Rezultatai!$J$2:$J$500,Rezultatai!$B$2:$B$500,$K36,Rezultatai!$A$2:$A$500,((Reitingai!$C$2-1)-2),Rezultatai!$D$2:$D$500,"&lt;&gt;Papildomi (R+)"))))*MIN(425,375+(1/70)*(SUMIFS(Parametrai!$B$2:$B$40,Parametrai!$A$2:$A$40,((Reitingai!$C$2-1)-2))-2500)),(SUMIFS(Rezultatai!$J$2:$J$500,Rezultatai!$B$2:$B$500,$K36,Rezultatai!$A$2:$A$500,((Reitingai!$C$2-1)-1),Rezultatai!$D$2:$D$500,"&lt;&gt;Papildomi (R+)")+MIN(SUMIFS(Rezultatai!$J$2:$J$500,Rezultatai!$B$2:$B$500,$K36,Rezultatai!$A$2:$A$500,((Reitingai!$C$2-1)-1),Rezultatai!$D$2:$D$500,"Papildomi (R+)"),0.15*(SUMIFS(Rezultatai!$J$2:$J$500,Rezultatai!$B$2:$B$500,$K36,Rezultatai!$A$2:$A$500,((Reitingai!$C$2-1)-1),Rezultatai!$D$2:$D$500,"&lt;&gt;Papildomi (R+)"))))*MIN(450,400+(1/70)*(SUMIFS(Parametrai!$B$2:$B$40,Parametrai!$A$2:$A$40,((Reitingai!$C$2-1)-1))-2500)),(SUMIFS(Rezultatai!$J$2:$J$500,Rezultatai!$B$2:$B$500,$K36,Rezultatai!$A$2:$A$500,(Reitingai!$C$2-1),Rezultatai!$D$2:$D$500,"&lt;&gt;Papildomi (R+)")+MIN(SUMIFS(Rezultatai!$J$2:$J$500,Rezultatai!$B$2:$B$500,$K36,Rezultatai!$A$2:$A$500,(Reitingai!$C$2-1),Rezultatai!$D$2:$D$500,"Papildomi (R+)"),0.15*(SUMIFS(Rezultatai!$J$2:$J$500,Rezultatai!$B$2:$B$500,$K36,Rezultatai!$A$2:$A$500,(Reitingai!$C$2-1),Rezultatai!$D$2:$D$500,"&lt;&gt;Papildomi (R+)"))))*MIN(550,450+(1/35)*(SUMIFS(Parametrai!$B$2:$B$40,Parametrai!$A$2:$A$40,(Reitingai!$C$2-1))-2500))))</f>
        <v>0</v>
      </c>
      <c r="O36" s="17">
        <f t="shared" si="8"/>
        <v>23</v>
      </c>
      <c r="P36" s="17">
        <f t="shared" si="9"/>
        <v>30</v>
      </c>
      <c r="Q36" s="17">
        <f>IF($K36="","",$O36+COUNTIF($O$6:$O36,$O36)-1)</f>
        <v>31</v>
      </c>
    </row>
    <row r="37" spans="1:17" ht="15" customHeight="1" x14ac:dyDescent="0.3">
      <c r="A37" s="13">
        <f>IFERROR(MATCH(32,$Q$6:$Q$105,0),"")</f>
        <v>32</v>
      </c>
      <c r="B37" s="13" t="str">
        <f t="shared" si="0"/>
        <v>Ringaudas Kikalas</v>
      </c>
      <c r="C37" s="13" t="str">
        <f t="shared" si="1"/>
        <v>Pamario Sklandytojų Klubas</v>
      </c>
      <c r="D37" s="13">
        <f t="shared" si="2"/>
        <v>23</v>
      </c>
      <c r="E37" s="16">
        <f t="shared" si="3"/>
        <v>30</v>
      </c>
      <c r="F37" s="30">
        <f t="shared" si="4"/>
        <v>7</v>
      </c>
      <c r="G37" s="14">
        <f t="shared" si="5"/>
        <v>0</v>
      </c>
      <c r="H37" s="14">
        <f t="shared" si="6"/>
        <v>0</v>
      </c>
      <c r="I37" s="31">
        <f t="shared" si="7"/>
        <v>0</v>
      </c>
      <c r="K37" s="17" t="str">
        <f>IF(Pilotai!B33="","",Pilotai!B33)</f>
        <v>Ringaudas Kikalas</v>
      </c>
      <c r="L37" s="17" t="str">
        <f>IF($K37="","",Pilotai!C33)</f>
        <v>Pamario Sklandytojų Klubas</v>
      </c>
      <c r="M37" s="18">
        <f>IF($K37="","",IFERROR(INDEX(Reitingai!$G$6:$G$105,MATCH($K37,Reitingai!$B$6:$B$105,0)),0))</f>
        <v>0</v>
      </c>
      <c r="N37" s="18">
        <f>IF($K37="","",SUM((SUMIFS(Rezultatai!$J$2:$J$500,Rezultatai!$B$2:$B$500,$K37,Rezultatai!$A$2:$A$500,((Reitingai!$C$2-1)-2),Rezultatai!$D$2:$D$500,"&lt;&gt;Papildomi (R+)")+MIN(SUMIFS(Rezultatai!$J$2:$J$500,Rezultatai!$B$2:$B$500,$K37,Rezultatai!$A$2:$A$500,((Reitingai!$C$2-1)-2),Rezultatai!$D$2:$D$500,"Papildomi (R+)"),0.15*(SUMIFS(Rezultatai!$J$2:$J$500,Rezultatai!$B$2:$B$500,$K37,Rezultatai!$A$2:$A$500,((Reitingai!$C$2-1)-2),Rezultatai!$D$2:$D$500,"&lt;&gt;Papildomi (R+)"))))*MIN(425,375+(1/70)*(SUMIFS(Parametrai!$B$2:$B$40,Parametrai!$A$2:$A$40,((Reitingai!$C$2-1)-2))-2500)),(SUMIFS(Rezultatai!$J$2:$J$500,Rezultatai!$B$2:$B$500,$K37,Rezultatai!$A$2:$A$500,((Reitingai!$C$2-1)-1),Rezultatai!$D$2:$D$500,"&lt;&gt;Papildomi (R+)")+MIN(SUMIFS(Rezultatai!$J$2:$J$500,Rezultatai!$B$2:$B$500,$K37,Rezultatai!$A$2:$A$500,((Reitingai!$C$2-1)-1),Rezultatai!$D$2:$D$500,"Papildomi (R+)"),0.15*(SUMIFS(Rezultatai!$J$2:$J$500,Rezultatai!$B$2:$B$500,$K37,Rezultatai!$A$2:$A$500,((Reitingai!$C$2-1)-1),Rezultatai!$D$2:$D$500,"&lt;&gt;Papildomi (R+)"))))*MIN(450,400+(1/70)*(SUMIFS(Parametrai!$B$2:$B$40,Parametrai!$A$2:$A$40,((Reitingai!$C$2-1)-1))-2500)),(SUMIFS(Rezultatai!$J$2:$J$500,Rezultatai!$B$2:$B$500,$K37,Rezultatai!$A$2:$A$500,(Reitingai!$C$2-1),Rezultatai!$D$2:$D$500,"&lt;&gt;Papildomi (R+)")+MIN(SUMIFS(Rezultatai!$J$2:$J$500,Rezultatai!$B$2:$B$500,$K37,Rezultatai!$A$2:$A$500,(Reitingai!$C$2-1),Rezultatai!$D$2:$D$500,"Papildomi (R+)"),0.15*(SUMIFS(Rezultatai!$J$2:$J$500,Rezultatai!$B$2:$B$500,$K37,Rezultatai!$A$2:$A$500,(Reitingai!$C$2-1),Rezultatai!$D$2:$D$500,"&lt;&gt;Papildomi (R+)"))))*MIN(550,450+(1/35)*(SUMIFS(Parametrai!$B$2:$B$40,Parametrai!$A$2:$A$40,(Reitingai!$C$2-1))-2500)))-MIN((SUMIFS(Rezultatai!$J$2:$J$500,Rezultatai!$B$2:$B$500,$K37,Rezultatai!$A$2:$A$500,((Reitingai!$C$2-1)-2),Rezultatai!$D$2:$D$500,"&lt;&gt;Papildomi (R+)")+MIN(SUMIFS(Rezultatai!$J$2:$J$500,Rezultatai!$B$2:$B$500,$K37,Rezultatai!$A$2:$A$500,((Reitingai!$C$2-1)-2),Rezultatai!$D$2:$D$500,"Papildomi (R+)"),0.15*(SUMIFS(Rezultatai!$J$2:$J$500,Rezultatai!$B$2:$B$500,$K37,Rezultatai!$A$2:$A$500,((Reitingai!$C$2-1)-2),Rezultatai!$D$2:$D$500,"&lt;&gt;Papildomi (R+)"))))*MIN(425,375+(1/70)*(SUMIFS(Parametrai!$B$2:$B$40,Parametrai!$A$2:$A$40,((Reitingai!$C$2-1)-2))-2500)),(SUMIFS(Rezultatai!$J$2:$J$500,Rezultatai!$B$2:$B$500,$K37,Rezultatai!$A$2:$A$500,((Reitingai!$C$2-1)-1),Rezultatai!$D$2:$D$500,"&lt;&gt;Papildomi (R+)")+MIN(SUMIFS(Rezultatai!$J$2:$J$500,Rezultatai!$B$2:$B$500,$K37,Rezultatai!$A$2:$A$500,((Reitingai!$C$2-1)-1),Rezultatai!$D$2:$D$500,"Papildomi (R+)"),0.15*(SUMIFS(Rezultatai!$J$2:$J$500,Rezultatai!$B$2:$B$500,$K37,Rezultatai!$A$2:$A$500,((Reitingai!$C$2-1)-1),Rezultatai!$D$2:$D$500,"&lt;&gt;Papildomi (R+)"))))*MIN(450,400+(1/70)*(SUMIFS(Parametrai!$B$2:$B$40,Parametrai!$A$2:$A$40,((Reitingai!$C$2-1)-1))-2500)),(SUMIFS(Rezultatai!$J$2:$J$500,Rezultatai!$B$2:$B$500,$K37,Rezultatai!$A$2:$A$500,(Reitingai!$C$2-1),Rezultatai!$D$2:$D$500,"&lt;&gt;Papildomi (R+)")+MIN(SUMIFS(Rezultatai!$J$2:$J$500,Rezultatai!$B$2:$B$500,$K37,Rezultatai!$A$2:$A$500,(Reitingai!$C$2-1),Rezultatai!$D$2:$D$500,"Papildomi (R+)"),0.15*(SUMIFS(Rezultatai!$J$2:$J$500,Rezultatai!$B$2:$B$500,$K37,Rezultatai!$A$2:$A$500,(Reitingai!$C$2-1),Rezultatai!$D$2:$D$500,"&lt;&gt;Papildomi (R+)"))))*MIN(550,450+(1/35)*(SUMIFS(Parametrai!$B$2:$B$40,Parametrai!$A$2:$A$40,(Reitingai!$C$2-1))-2500))))</f>
        <v>0</v>
      </c>
      <c r="O37" s="17">
        <f t="shared" si="8"/>
        <v>23</v>
      </c>
      <c r="P37" s="17">
        <f t="shared" si="9"/>
        <v>30</v>
      </c>
      <c r="Q37" s="17">
        <f>IF($K37="","",$O37+COUNTIF($O$6:$O37,$O37)-1)</f>
        <v>32</v>
      </c>
    </row>
    <row r="38" spans="1:17" ht="15" customHeight="1" x14ac:dyDescent="0.3">
      <c r="A38" s="13">
        <f>IFERROR(MATCH(33,$Q$6:$Q$105,0),"")</f>
        <v>33</v>
      </c>
      <c r="B38" s="13" t="str">
        <f t="shared" ref="B38:B69" si="10">IF($A38="","",INDEX($K$6:$K$105,$A38))</f>
        <v>Šarunas Stanevičius</v>
      </c>
      <c r="C38" s="13" t="str">
        <f t="shared" ref="C38:C69" si="11">IF($A38="","",INDEX($L$6:$L$105,$A38))</f>
        <v>Pamario Sklandytojų Klubas</v>
      </c>
      <c r="D38" s="13">
        <f t="shared" ref="D38:D69" si="12">IF($A38="","",INDEX($O$6:$O$105,$A38))</f>
        <v>23</v>
      </c>
      <c r="E38" s="16">
        <f t="shared" ref="E38:E69" si="13">IF($A38="","",INDEX($P$6:$P$105,$A38))</f>
        <v>30</v>
      </c>
      <c r="F38" s="30">
        <f t="shared" ref="F38:F69" si="14">IF($A38="","",$E38-$D38)</f>
        <v>7</v>
      </c>
      <c r="G38" s="14">
        <f t="shared" ref="G38:G69" si="15">IF($A38="","",INDEX($M$6:$M$105,$A38))</f>
        <v>0</v>
      </c>
      <c r="H38" s="14">
        <f t="shared" ref="H38:H69" si="16">IF($A38="","",INDEX($N$6:$N$105,$A38))</f>
        <v>0</v>
      </c>
      <c r="I38" s="31">
        <f t="shared" ref="I38:I69" si="17">IF($A38="","",$G38-$H38)</f>
        <v>0</v>
      </c>
      <c r="K38" s="17" t="str">
        <f>IF(Pilotai!B34="","",Pilotai!B34)</f>
        <v>Šarunas Stanevičius</v>
      </c>
      <c r="L38" s="17" t="str">
        <f>IF($K38="","",Pilotai!C34)</f>
        <v>Pamario Sklandytojų Klubas</v>
      </c>
      <c r="M38" s="18">
        <f>IF($K38="","",IFERROR(INDEX(Reitingai!$G$6:$G$105,MATCH($K38,Reitingai!$B$6:$B$105,0)),0))</f>
        <v>0</v>
      </c>
      <c r="N38" s="18">
        <f>IF($K38="","",SUM((SUMIFS(Rezultatai!$J$2:$J$500,Rezultatai!$B$2:$B$500,$K38,Rezultatai!$A$2:$A$500,((Reitingai!$C$2-1)-2),Rezultatai!$D$2:$D$500,"&lt;&gt;Papildomi (R+)")+MIN(SUMIFS(Rezultatai!$J$2:$J$500,Rezultatai!$B$2:$B$500,$K38,Rezultatai!$A$2:$A$500,((Reitingai!$C$2-1)-2),Rezultatai!$D$2:$D$500,"Papildomi (R+)"),0.15*(SUMIFS(Rezultatai!$J$2:$J$500,Rezultatai!$B$2:$B$500,$K38,Rezultatai!$A$2:$A$500,((Reitingai!$C$2-1)-2),Rezultatai!$D$2:$D$500,"&lt;&gt;Papildomi (R+)"))))*MIN(425,375+(1/70)*(SUMIFS(Parametrai!$B$2:$B$40,Parametrai!$A$2:$A$40,((Reitingai!$C$2-1)-2))-2500)),(SUMIFS(Rezultatai!$J$2:$J$500,Rezultatai!$B$2:$B$500,$K38,Rezultatai!$A$2:$A$500,((Reitingai!$C$2-1)-1),Rezultatai!$D$2:$D$500,"&lt;&gt;Papildomi (R+)")+MIN(SUMIFS(Rezultatai!$J$2:$J$500,Rezultatai!$B$2:$B$500,$K38,Rezultatai!$A$2:$A$500,((Reitingai!$C$2-1)-1),Rezultatai!$D$2:$D$500,"Papildomi (R+)"),0.15*(SUMIFS(Rezultatai!$J$2:$J$500,Rezultatai!$B$2:$B$500,$K38,Rezultatai!$A$2:$A$500,((Reitingai!$C$2-1)-1),Rezultatai!$D$2:$D$500,"&lt;&gt;Papildomi (R+)"))))*MIN(450,400+(1/70)*(SUMIFS(Parametrai!$B$2:$B$40,Parametrai!$A$2:$A$40,((Reitingai!$C$2-1)-1))-2500)),(SUMIFS(Rezultatai!$J$2:$J$500,Rezultatai!$B$2:$B$500,$K38,Rezultatai!$A$2:$A$500,(Reitingai!$C$2-1),Rezultatai!$D$2:$D$500,"&lt;&gt;Papildomi (R+)")+MIN(SUMIFS(Rezultatai!$J$2:$J$500,Rezultatai!$B$2:$B$500,$K38,Rezultatai!$A$2:$A$500,(Reitingai!$C$2-1),Rezultatai!$D$2:$D$500,"Papildomi (R+)"),0.15*(SUMIFS(Rezultatai!$J$2:$J$500,Rezultatai!$B$2:$B$500,$K38,Rezultatai!$A$2:$A$500,(Reitingai!$C$2-1),Rezultatai!$D$2:$D$500,"&lt;&gt;Papildomi (R+)"))))*MIN(550,450+(1/35)*(SUMIFS(Parametrai!$B$2:$B$40,Parametrai!$A$2:$A$40,(Reitingai!$C$2-1))-2500)))-MIN((SUMIFS(Rezultatai!$J$2:$J$500,Rezultatai!$B$2:$B$500,$K38,Rezultatai!$A$2:$A$500,((Reitingai!$C$2-1)-2),Rezultatai!$D$2:$D$500,"&lt;&gt;Papildomi (R+)")+MIN(SUMIFS(Rezultatai!$J$2:$J$500,Rezultatai!$B$2:$B$500,$K38,Rezultatai!$A$2:$A$500,((Reitingai!$C$2-1)-2),Rezultatai!$D$2:$D$500,"Papildomi (R+)"),0.15*(SUMIFS(Rezultatai!$J$2:$J$500,Rezultatai!$B$2:$B$500,$K38,Rezultatai!$A$2:$A$500,((Reitingai!$C$2-1)-2),Rezultatai!$D$2:$D$500,"&lt;&gt;Papildomi (R+)"))))*MIN(425,375+(1/70)*(SUMIFS(Parametrai!$B$2:$B$40,Parametrai!$A$2:$A$40,((Reitingai!$C$2-1)-2))-2500)),(SUMIFS(Rezultatai!$J$2:$J$500,Rezultatai!$B$2:$B$500,$K38,Rezultatai!$A$2:$A$500,((Reitingai!$C$2-1)-1),Rezultatai!$D$2:$D$500,"&lt;&gt;Papildomi (R+)")+MIN(SUMIFS(Rezultatai!$J$2:$J$500,Rezultatai!$B$2:$B$500,$K38,Rezultatai!$A$2:$A$500,((Reitingai!$C$2-1)-1),Rezultatai!$D$2:$D$500,"Papildomi (R+)"),0.15*(SUMIFS(Rezultatai!$J$2:$J$500,Rezultatai!$B$2:$B$500,$K38,Rezultatai!$A$2:$A$500,((Reitingai!$C$2-1)-1),Rezultatai!$D$2:$D$500,"&lt;&gt;Papildomi (R+)"))))*MIN(450,400+(1/70)*(SUMIFS(Parametrai!$B$2:$B$40,Parametrai!$A$2:$A$40,((Reitingai!$C$2-1)-1))-2500)),(SUMIFS(Rezultatai!$J$2:$J$500,Rezultatai!$B$2:$B$500,$K38,Rezultatai!$A$2:$A$500,(Reitingai!$C$2-1),Rezultatai!$D$2:$D$500,"&lt;&gt;Papildomi (R+)")+MIN(SUMIFS(Rezultatai!$J$2:$J$500,Rezultatai!$B$2:$B$500,$K38,Rezultatai!$A$2:$A$500,(Reitingai!$C$2-1),Rezultatai!$D$2:$D$500,"Papildomi (R+)"),0.15*(SUMIFS(Rezultatai!$J$2:$J$500,Rezultatai!$B$2:$B$500,$K38,Rezultatai!$A$2:$A$500,(Reitingai!$C$2-1),Rezultatai!$D$2:$D$500,"&lt;&gt;Papildomi (R+)"))))*MIN(550,450+(1/35)*(SUMIFS(Parametrai!$B$2:$B$40,Parametrai!$A$2:$A$40,(Reitingai!$C$2-1))-2500))))</f>
        <v>0</v>
      </c>
      <c r="O38" s="17">
        <f t="shared" ref="O38:O69" si="18">IF($K38="","",RANK($M38,$M$6:$M$105,0))</f>
        <v>23</v>
      </c>
      <c r="P38" s="17">
        <f t="shared" ref="P38:P69" si="19">IF($K38="","",RANK($N38,$N$6:$N$105,0))</f>
        <v>30</v>
      </c>
      <c r="Q38" s="17">
        <f>IF($K38="","",$O38+COUNTIF($O$6:$O38,$O38)-1)</f>
        <v>33</v>
      </c>
    </row>
    <row r="39" spans="1:17" ht="15" customHeight="1" x14ac:dyDescent="0.3">
      <c r="A39" s="13">
        <f>IFERROR(MATCH(34,$Q$6:$Q$105,0),"")</f>
        <v>34</v>
      </c>
      <c r="B39" s="13" t="str">
        <f t="shared" si="10"/>
        <v>Artūras Pilvinis</v>
      </c>
      <c r="C39" s="13" t="str">
        <f t="shared" si="11"/>
        <v>Telšė</v>
      </c>
      <c r="D39" s="13">
        <f t="shared" si="12"/>
        <v>23</v>
      </c>
      <c r="E39" s="16">
        <f t="shared" si="13"/>
        <v>30</v>
      </c>
      <c r="F39" s="30">
        <f t="shared" si="14"/>
        <v>7</v>
      </c>
      <c r="G39" s="14">
        <f t="shared" si="15"/>
        <v>0</v>
      </c>
      <c r="H39" s="14">
        <f t="shared" si="16"/>
        <v>0</v>
      </c>
      <c r="I39" s="31">
        <f t="shared" si="17"/>
        <v>0</v>
      </c>
      <c r="K39" s="17" t="str">
        <f>IF(Pilotai!B35="","",Pilotai!B35)</f>
        <v>Artūras Pilvinis</v>
      </c>
      <c r="L39" s="17" t="str">
        <f>IF($K39="","",Pilotai!C35)</f>
        <v>Telšė</v>
      </c>
      <c r="M39" s="18">
        <f>IF($K39="","",IFERROR(INDEX(Reitingai!$G$6:$G$105,MATCH($K39,Reitingai!$B$6:$B$105,0)),0))</f>
        <v>0</v>
      </c>
      <c r="N39" s="18">
        <f>IF($K39="","",SUM((SUMIFS(Rezultatai!$J$2:$J$500,Rezultatai!$B$2:$B$500,$K39,Rezultatai!$A$2:$A$500,((Reitingai!$C$2-1)-2),Rezultatai!$D$2:$D$500,"&lt;&gt;Papildomi (R+)")+MIN(SUMIFS(Rezultatai!$J$2:$J$500,Rezultatai!$B$2:$B$500,$K39,Rezultatai!$A$2:$A$500,((Reitingai!$C$2-1)-2),Rezultatai!$D$2:$D$500,"Papildomi (R+)"),0.15*(SUMIFS(Rezultatai!$J$2:$J$500,Rezultatai!$B$2:$B$500,$K39,Rezultatai!$A$2:$A$500,((Reitingai!$C$2-1)-2),Rezultatai!$D$2:$D$500,"&lt;&gt;Papildomi (R+)"))))*MIN(425,375+(1/70)*(SUMIFS(Parametrai!$B$2:$B$40,Parametrai!$A$2:$A$40,((Reitingai!$C$2-1)-2))-2500)),(SUMIFS(Rezultatai!$J$2:$J$500,Rezultatai!$B$2:$B$500,$K39,Rezultatai!$A$2:$A$500,((Reitingai!$C$2-1)-1),Rezultatai!$D$2:$D$500,"&lt;&gt;Papildomi (R+)")+MIN(SUMIFS(Rezultatai!$J$2:$J$500,Rezultatai!$B$2:$B$500,$K39,Rezultatai!$A$2:$A$500,((Reitingai!$C$2-1)-1),Rezultatai!$D$2:$D$500,"Papildomi (R+)"),0.15*(SUMIFS(Rezultatai!$J$2:$J$500,Rezultatai!$B$2:$B$500,$K39,Rezultatai!$A$2:$A$500,((Reitingai!$C$2-1)-1),Rezultatai!$D$2:$D$500,"&lt;&gt;Papildomi (R+)"))))*MIN(450,400+(1/70)*(SUMIFS(Parametrai!$B$2:$B$40,Parametrai!$A$2:$A$40,((Reitingai!$C$2-1)-1))-2500)),(SUMIFS(Rezultatai!$J$2:$J$500,Rezultatai!$B$2:$B$500,$K39,Rezultatai!$A$2:$A$500,(Reitingai!$C$2-1),Rezultatai!$D$2:$D$500,"&lt;&gt;Papildomi (R+)")+MIN(SUMIFS(Rezultatai!$J$2:$J$500,Rezultatai!$B$2:$B$500,$K39,Rezultatai!$A$2:$A$500,(Reitingai!$C$2-1),Rezultatai!$D$2:$D$500,"Papildomi (R+)"),0.15*(SUMIFS(Rezultatai!$J$2:$J$500,Rezultatai!$B$2:$B$500,$K39,Rezultatai!$A$2:$A$500,(Reitingai!$C$2-1),Rezultatai!$D$2:$D$500,"&lt;&gt;Papildomi (R+)"))))*MIN(550,450+(1/35)*(SUMIFS(Parametrai!$B$2:$B$40,Parametrai!$A$2:$A$40,(Reitingai!$C$2-1))-2500)))-MIN((SUMIFS(Rezultatai!$J$2:$J$500,Rezultatai!$B$2:$B$500,$K39,Rezultatai!$A$2:$A$500,((Reitingai!$C$2-1)-2),Rezultatai!$D$2:$D$500,"&lt;&gt;Papildomi (R+)")+MIN(SUMIFS(Rezultatai!$J$2:$J$500,Rezultatai!$B$2:$B$500,$K39,Rezultatai!$A$2:$A$500,((Reitingai!$C$2-1)-2),Rezultatai!$D$2:$D$500,"Papildomi (R+)"),0.15*(SUMIFS(Rezultatai!$J$2:$J$500,Rezultatai!$B$2:$B$500,$K39,Rezultatai!$A$2:$A$500,((Reitingai!$C$2-1)-2),Rezultatai!$D$2:$D$500,"&lt;&gt;Papildomi (R+)"))))*MIN(425,375+(1/70)*(SUMIFS(Parametrai!$B$2:$B$40,Parametrai!$A$2:$A$40,((Reitingai!$C$2-1)-2))-2500)),(SUMIFS(Rezultatai!$J$2:$J$500,Rezultatai!$B$2:$B$500,$K39,Rezultatai!$A$2:$A$500,((Reitingai!$C$2-1)-1),Rezultatai!$D$2:$D$500,"&lt;&gt;Papildomi (R+)")+MIN(SUMIFS(Rezultatai!$J$2:$J$500,Rezultatai!$B$2:$B$500,$K39,Rezultatai!$A$2:$A$500,((Reitingai!$C$2-1)-1),Rezultatai!$D$2:$D$500,"Papildomi (R+)"),0.15*(SUMIFS(Rezultatai!$J$2:$J$500,Rezultatai!$B$2:$B$500,$K39,Rezultatai!$A$2:$A$500,((Reitingai!$C$2-1)-1),Rezultatai!$D$2:$D$500,"&lt;&gt;Papildomi (R+)"))))*MIN(450,400+(1/70)*(SUMIFS(Parametrai!$B$2:$B$40,Parametrai!$A$2:$A$40,((Reitingai!$C$2-1)-1))-2500)),(SUMIFS(Rezultatai!$J$2:$J$500,Rezultatai!$B$2:$B$500,$K39,Rezultatai!$A$2:$A$500,(Reitingai!$C$2-1),Rezultatai!$D$2:$D$500,"&lt;&gt;Papildomi (R+)")+MIN(SUMIFS(Rezultatai!$J$2:$J$500,Rezultatai!$B$2:$B$500,$K39,Rezultatai!$A$2:$A$500,(Reitingai!$C$2-1),Rezultatai!$D$2:$D$500,"Papildomi (R+)"),0.15*(SUMIFS(Rezultatai!$J$2:$J$500,Rezultatai!$B$2:$B$500,$K39,Rezultatai!$A$2:$A$500,(Reitingai!$C$2-1),Rezultatai!$D$2:$D$500,"&lt;&gt;Papildomi (R+)"))))*MIN(550,450+(1/35)*(SUMIFS(Parametrai!$B$2:$B$40,Parametrai!$A$2:$A$40,(Reitingai!$C$2-1))-2500))))</f>
        <v>0</v>
      </c>
      <c r="O39" s="17">
        <f t="shared" si="18"/>
        <v>23</v>
      </c>
      <c r="P39" s="17">
        <f t="shared" si="19"/>
        <v>30</v>
      </c>
      <c r="Q39" s="17">
        <f>IF($K39="","",$O39+COUNTIF($O$6:$O39,$O39)-1)</f>
        <v>34</v>
      </c>
    </row>
    <row r="40" spans="1:17" ht="15" customHeight="1" x14ac:dyDescent="0.3">
      <c r="A40" s="13">
        <f>IFERROR(MATCH(35,$Q$6:$Q$105,0),"")</f>
        <v>35</v>
      </c>
      <c r="B40" s="13" t="str">
        <f t="shared" si="10"/>
        <v>Jokūbas Motūza</v>
      </c>
      <c r="C40" s="13" t="str">
        <f t="shared" si="11"/>
        <v>Kauno AASK</v>
      </c>
      <c r="D40" s="13">
        <f t="shared" si="12"/>
        <v>23</v>
      </c>
      <c r="E40" s="16">
        <f t="shared" si="13"/>
        <v>30</v>
      </c>
      <c r="F40" s="30">
        <f t="shared" si="14"/>
        <v>7</v>
      </c>
      <c r="G40" s="14">
        <f t="shared" si="15"/>
        <v>0</v>
      </c>
      <c r="H40" s="14">
        <f t="shared" si="16"/>
        <v>0</v>
      </c>
      <c r="I40" s="31">
        <f t="shared" si="17"/>
        <v>0</v>
      </c>
      <c r="K40" s="17" t="str">
        <f>IF(Pilotai!B36="","",Pilotai!B36)</f>
        <v>Jokūbas Motūza</v>
      </c>
      <c r="L40" s="17" t="str">
        <f>IF($K40="","",Pilotai!C36)</f>
        <v>Kauno AASK</v>
      </c>
      <c r="M40" s="18">
        <f>IF($K40="","",IFERROR(INDEX(Reitingai!$G$6:$G$105,MATCH($K40,Reitingai!$B$6:$B$105,0)),0))</f>
        <v>0</v>
      </c>
      <c r="N40" s="18">
        <f>IF($K40="","",SUM((SUMIFS(Rezultatai!$J$2:$J$500,Rezultatai!$B$2:$B$500,$K40,Rezultatai!$A$2:$A$500,((Reitingai!$C$2-1)-2),Rezultatai!$D$2:$D$500,"&lt;&gt;Papildomi (R+)")+MIN(SUMIFS(Rezultatai!$J$2:$J$500,Rezultatai!$B$2:$B$500,$K40,Rezultatai!$A$2:$A$500,((Reitingai!$C$2-1)-2),Rezultatai!$D$2:$D$500,"Papildomi (R+)"),0.15*(SUMIFS(Rezultatai!$J$2:$J$500,Rezultatai!$B$2:$B$500,$K40,Rezultatai!$A$2:$A$500,((Reitingai!$C$2-1)-2),Rezultatai!$D$2:$D$500,"&lt;&gt;Papildomi (R+)"))))*MIN(425,375+(1/70)*(SUMIFS(Parametrai!$B$2:$B$40,Parametrai!$A$2:$A$40,((Reitingai!$C$2-1)-2))-2500)),(SUMIFS(Rezultatai!$J$2:$J$500,Rezultatai!$B$2:$B$500,$K40,Rezultatai!$A$2:$A$500,((Reitingai!$C$2-1)-1),Rezultatai!$D$2:$D$500,"&lt;&gt;Papildomi (R+)")+MIN(SUMIFS(Rezultatai!$J$2:$J$500,Rezultatai!$B$2:$B$500,$K40,Rezultatai!$A$2:$A$500,((Reitingai!$C$2-1)-1),Rezultatai!$D$2:$D$500,"Papildomi (R+)"),0.15*(SUMIFS(Rezultatai!$J$2:$J$500,Rezultatai!$B$2:$B$500,$K40,Rezultatai!$A$2:$A$500,((Reitingai!$C$2-1)-1),Rezultatai!$D$2:$D$500,"&lt;&gt;Papildomi (R+)"))))*MIN(450,400+(1/70)*(SUMIFS(Parametrai!$B$2:$B$40,Parametrai!$A$2:$A$40,((Reitingai!$C$2-1)-1))-2500)),(SUMIFS(Rezultatai!$J$2:$J$500,Rezultatai!$B$2:$B$500,$K40,Rezultatai!$A$2:$A$500,(Reitingai!$C$2-1),Rezultatai!$D$2:$D$500,"&lt;&gt;Papildomi (R+)")+MIN(SUMIFS(Rezultatai!$J$2:$J$500,Rezultatai!$B$2:$B$500,$K40,Rezultatai!$A$2:$A$500,(Reitingai!$C$2-1),Rezultatai!$D$2:$D$500,"Papildomi (R+)"),0.15*(SUMIFS(Rezultatai!$J$2:$J$500,Rezultatai!$B$2:$B$500,$K40,Rezultatai!$A$2:$A$500,(Reitingai!$C$2-1),Rezultatai!$D$2:$D$500,"&lt;&gt;Papildomi (R+)"))))*MIN(550,450+(1/35)*(SUMIFS(Parametrai!$B$2:$B$40,Parametrai!$A$2:$A$40,(Reitingai!$C$2-1))-2500)))-MIN((SUMIFS(Rezultatai!$J$2:$J$500,Rezultatai!$B$2:$B$500,$K40,Rezultatai!$A$2:$A$500,((Reitingai!$C$2-1)-2),Rezultatai!$D$2:$D$500,"&lt;&gt;Papildomi (R+)")+MIN(SUMIFS(Rezultatai!$J$2:$J$500,Rezultatai!$B$2:$B$500,$K40,Rezultatai!$A$2:$A$500,((Reitingai!$C$2-1)-2),Rezultatai!$D$2:$D$500,"Papildomi (R+)"),0.15*(SUMIFS(Rezultatai!$J$2:$J$500,Rezultatai!$B$2:$B$500,$K40,Rezultatai!$A$2:$A$500,((Reitingai!$C$2-1)-2),Rezultatai!$D$2:$D$500,"&lt;&gt;Papildomi (R+)"))))*MIN(425,375+(1/70)*(SUMIFS(Parametrai!$B$2:$B$40,Parametrai!$A$2:$A$40,((Reitingai!$C$2-1)-2))-2500)),(SUMIFS(Rezultatai!$J$2:$J$500,Rezultatai!$B$2:$B$500,$K40,Rezultatai!$A$2:$A$500,((Reitingai!$C$2-1)-1),Rezultatai!$D$2:$D$500,"&lt;&gt;Papildomi (R+)")+MIN(SUMIFS(Rezultatai!$J$2:$J$500,Rezultatai!$B$2:$B$500,$K40,Rezultatai!$A$2:$A$500,((Reitingai!$C$2-1)-1),Rezultatai!$D$2:$D$500,"Papildomi (R+)"),0.15*(SUMIFS(Rezultatai!$J$2:$J$500,Rezultatai!$B$2:$B$500,$K40,Rezultatai!$A$2:$A$500,((Reitingai!$C$2-1)-1),Rezultatai!$D$2:$D$500,"&lt;&gt;Papildomi (R+)"))))*MIN(450,400+(1/70)*(SUMIFS(Parametrai!$B$2:$B$40,Parametrai!$A$2:$A$40,((Reitingai!$C$2-1)-1))-2500)),(SUMIFS(Rezultatai!$J$2:$J$500,Rezultatai!$B$2:$B$500,$K40,Rezultatai!$A$2:$A$500,(Reitingai!$C$2-1),Rezultatai!$D$2:$D$500,"&lt;&gt;Papildomi (R+)")+MIN(SUMIFS(Rezultatai!$J$2:$J$500,Rezultatai!$B$2:$B$500,$K40,Rezultatai!$A$2:$A$500,(Reitingai!$C$2-1),Rezultatai!$D$2:$D$500,"Papildomi (R+)"),0.15*(SUMIFS(Rezultatai!$J$2:$J$500,Rezultatai!$B$2:$B$500,$K40,Rezultatai!$A$2:$A$500,(Reitingai!$C$2-1),Rezultatai!$D$2:$D$500,"&lt;&gt;Papildomi (R+)"))))*MIN(550,450+(1/35)*(SUMIFS(Parametrai!$B$2:$B$40,Parametrai!$A$2:$A$40,(Reitingai!$C$2-1))-2500))))</f>
        <v>0</v>
      </c>
      <c r="O40" s="17">
        <f t="shared" si="18"/>
        <v>23</v>
      </c>
      <c r="P40" s="17">
        <f t="shared" si="19"/>
        <v>30</v>
      </c>
      <c r="Q40" s="17">
        <f>IF($K40="","",$O40+COUNTIF($O$6:$O40,$O40)-1)</f>
        <v>35</v>
      </c>
    </row>
    <row r="41" spans="1:17" ht="15" customHeight="1" x14ac:dyDescent="0.3">
      <c r="A41" s="13">
        <f>IFERROR(MATCH(36,$Q$6:$Q$105,0),"")</f>
        <v>36</v>
      </c>
      <c r="B41" s="13" t="str">
        <f t="shared" si="10"/>
        <v>Kęstutis Jurkštas</v>
      </c>
      <c r="C41" s="13" t="str">
        <f t="shared" si="11"/>
        <v>Vilniaus Aeroklubas</v>
      </c>
      <c r="D41" s="13">
        <f t="shared" si="12"/>
        <v>23</v>
      </c>
      <c r="E41" s="16">
        <f t="shared" si="13"/>
        <v>30</v>
      </c>
      <c r="F41" s="30">
        <f t="shared" si="14"/>
        <v>7</v>
      </c>
      <c r="G41" s="14">
        <f t="shared" si="15"/>
        <v>0</v>
      </c>
      <c r="H41" s="14">
        <f t="shared" si="16"/>
        <v>0</v>
      </c>
      <c r="I41" s="31">
        <f t="shared" si="17"/>
        <v>0</v>
      </c>
      <c r="K41" s="17" t="str">
        <f>IF(Pilotai!B37="","",Pilotai!B37)</f>
        <v>Kęstutis Jurkštas</v>
      </c>
      <c r="L41" s="17" t="str">
        <f>IF($K41="","",Pilotai!C37)</f>
        <v>Vilniaus Aeroklubas</v>
      </c>
      <c r="M41" s="18">
        <f>IF($K41="","",IFERROR(INDEX(Reitingai!$G$6:$G$105,MATCH($K41,Reitingai!$B$6:$B$105,0)),0))</f>
        <v>0</v>
      </c>
      <c r="N41" s="18">
        <f>IF($K41="","",SUM((SUMIFS(Rezultatai!$J$2:$J$500,Rezultatai!$B$2:$B$500,$K41,Rezultatai!$A$2:$A$500,((Reitingai!$C$2-1)-2),Rezultatai!$D$2:$D$500,"&lt;&gt;Papildomi (R+)")+MIN(SUMIFS(Rezultatai!$J$2:$J$500,Rezultatai!$B$2:$B$500,$K41,Rezultatai!$A$2:$A$500,((Reitingai!$C$2-1)-2),Rezultatai!$D$2:$D$500,"Papildomi (R+)"),0.15*(SUMIFS(Rezultatai!$J$2:$J$500,Rezultatai!$B$2:$B$500,$K41,Rezultatai!$A$2:$A$500,((Reitingai!$C$2-1)-2),Rezultatai!$D$2:$D$500,"&lt;&gt;Papildomi (R+)"))))*MIN(425,375+(1/70)*(SUMIFS(Parametrai!$B$2:$B$40,Parametrai!$A$2:$A$40,((Reitingai!$C$2-1)-2))-2500)),(SUMIFS(Rezultatai!$J$2:$J$500,Rezultatai!$B$2:$B$500,$K41,Rezultatai!$A$2:$A$500,((Reitingai!$C$2-1)-1),Rezultatai!$D$2:$D$500,"&lt;&gt;Papildomi (R+)")+MIN(SUMIFS(Rezultatai!$J$2:$J$500,Rezultatai!$B$2:$B$500,$K41,Rezultatai!$A$2:$A$500,((Reitingai!$C$2-1)-1),Rezultatai!$D$2:$D$500,"Papildomi (R+)"),0.15*(SUMIFS(Rezultatai!$J$2:$J$500,Rezultatai!$B$2:$B$500,$K41,Rezultatai!$A$2:$A$500,((Reitingai!$C$2-1)-1),Rezultatai!$D$2:$D$500,"&lt;&gt;Papildomi (R+)"))))*MIN(450,400+(1/70)*(SUMIFS(Parametrai!$B$2:$B$40,Parametrai!$A$2:$A$40,((Reitingai!$C$2-1)-1))-2500)),(SUMIFS(Rezultatai!$J$2:$J$500,Rezultatai!$B$2:$B$500,$K41,Rezultatai!$A$2:$A$500,(Reitingai!$C$2-1),Rezultatai!$D$2:$D$500,"&lt;&gt;Papildomi (R+)")+MIN(SUMIFS(Rezultatai!$J$2:$J$500,Rezultatai!$B$2:$B$500,$K41,Rezultatai!$A$2:$A$500,(Reitingai!$C$2-1),Rezultatai!$D$2:$D$500,"Papildomi (R+)"),0.15*(SUMIFS(Rezultatai!$J$2:$J$500,Rezultatai!$B$2:$B$500,$K41,Rezultatai!$A$2:$A$500,(Reitingai!$C$2-1),Rezultatai!$D$2:$D$500,"&lt;&gt;Papildomi (R+)"))))*MIN(550,450+(1/35)*(SUMIFS(Parametrai!$B$2:$B$40,Parametrai!$A$2:$A$40,(Reitingai!$C$2-1))-2500)))-MIN((SUMIFS(Rezultatai!$J$2:$J$500,Rezultatai!$B$2:$B$500,$K41,Rezultatai!$A$2:$A$500,((Reitingai!$C$2-1)-2),Rezultatai!$D$2:$D$500,"&lt;&gt;Papildomi (R+)")+MIN(SUMIFS(Rezultatai!$J$2:$J$500,Rezultatai!$B$2:$B$500,$K41,Rezultatai!$A$2:$A$500,((Reitingai!$C$2-1)-2),Rezultatai!$D$2:$D$500,"Papildomi (R+)"),0.15*(SUMIFS(Rezultatai!$J$2:$J$500,Rezultatai!$B$2:$B$500,$K41,Rezultatai!$A$2:$A$500,((Reitingai!$C$2-1)-2),Rezultatai!$D$2:$D$500,"&lt;&gt;Papildomi (R+)"))))*MIN(425,375+(1/70)*(SUMIFS(Parametrai!$B$2:$B$40,Parametrai!$A$2:$A$40,((Reitingai!$C$2-1)-2))-2500)),(SUMIFS(Rezultatai!$J$2:$J$500,Rezultatai!$B$2:$B$500,$K41,Rezultatai!$A$2:$A$500,((Reitingai!$C$2-1)-1),Rezultatai!$D$2:$D$500,"&lt;&gt;Papildomi (R+)")+MIN(SUMIFS(Rezultatai!$J$2:$J$500,Rezultatai!$B$2:$B$500,$K41,Rezultatai!$A$2:$A$500,((Reitingai!$C$2-1)-1),Rezultatai!$D$2:$D$500,"Papildomi (R+)"),0.15*(SUMIFS(Rezultatai!$J$2:$J$500,Rezultatai!$B$2:$B$500,$K41,Rezultatai!$A$2:$A$500,((Reitingai!$C$2-1)-1),Rezultatai!$D$2:$D$500,"&lt;&gt;Papildomi (R+)"))))*MIN(450,400+(1/70)*(SUMIFS(Parametrai!$B$2:$B$40,Parametrai!$A$2:$A$40,((Reitingai!$C$2-1)-1))-2500)),(SUMIFS(Rezultatai!$J$2:$J$500,Rezultatai!$B$2:$B$500,$K41,Rezultatai!$A$2:$A$500,(Reitingai!$C$2-1),Rezultatai!$D$2:$D$500,"&lt;&gt;Papildomi (R+)")+MIN(SUMIFS(Rezultatai!$J$2:$J$500,Rezultatai!$B$2:$B$500,$K41,Rezultatai!$A$2:$A$500,(Reitingai!$C$2-1),Rezultatai!$D$2:$D$500,"Papildomi (R+)"),0.15*(SUMIFS(Rezultatai!$J$2:$J$500,Rezultatai!$B$2:$B$500,$K41,Rezultatai!$A$2:$A$500,(Reitingai!$C$2-1),Rezultatai!$D$2:$D$500,"&lt;&gt;Papildomi (R+)"))))*MIN(550,450+(1/35)*(SUMIFS(Parametrai!$B$2:$B$40,Parametrai!$A$2:$A$40,(Reitingai!$C$2-1))-2500))))</f>
        <v>0</v>
      </c>
      <c r="O41" s="17">
        <f t="shared" si="18"/>
        <v>23</v>
      </c>
      <c r="P41" s="17">
        <f t="shared" si="19"/>
        <v>30</v>
      </c>
      <c r="Q41" s="17">
        <f>IF($K41="","",$O41+COUNTIF($O$6:$O41,$O41)-1)</f>
        <v>36</v>
      </c>
    </row>
    <row r="42" spans="1:17" ht="15" customHeight="1" x14ac:dyDescent="0.3">
      <c r="A42" s="13">
        <f>IFERROR(MATCH(37,$Q$6:$Q$105,0),"")</f>
        <v>37</v>
      </c>
      <c r="B42" s="13" t="str">
        <f t="shared" si="10"/>
        <v>Ignas Bitinaitis</v>
      </c>
      <c r="C42" s="13" t="str">
        <f t="shared" si="11"/>
        <v>Kauno AASK</v>
      </c>
      <c r="D42" s="13">
        <f t="shared" si="12"/>
        <v>23</v>
      </c>
      <c r="E42" s="16">
        <f t="shared" si="13"/>
        <v>30</v>
      </c>
      <c r="F42" s="30">
        <f t="shared" si="14"/>
        <v>7</v>
      </c>
      <c r="G42" s="14">
        <f t="shared" si="15"/>
        <v>0</v>
      </c>
      <c r="H42" s="14">
        <f t="shared" si="16"/>
        <v>0</v>
      </c>
      <c r="I42" s="31">
        <f t="shared" si="17"/>
        <v>0</v>
      </c>
      <c r="K42" s="17" t="str">
        <f>IF(Pilotai!B38="","",Pilotai!B38)</f>
        <v>Ignas Bitinaitis</v>
      </c>
      <c r="L42" s="17" t="str">
        <f>IF($K42="","",Pilotai!C38)</f>
        <v>Kauno AASK</v>
      </c>
      <c r="M42" s="18">
        <f>IF($K42="","",IFERROR(INDEX(Reitingai!$G$6:$G$105,MATCH($K42,Reitingai!$B$6:$B$105,0)),0))</f>
        <v>0</v>
      </c>
      <c r="N42" s="18">
        <f>IF($K42="","",SUM((SUMIFS(Rezultatai!$J$2:$J$500,Rezultatai!$B$2:$B$500,$K42,Rezultatai!$A$2:$A$500,((Reitingai!$C$2-1)-2),Rezultatai!$D$2:$D$500,"&lt;&gt;Papildomi (R+)")+MIN(SUMIFS(Rezultatai!$J$2:$J$500,Rezultatai!$B$2:$B$500,$K42,Rezultatai!$A$2:$A$500,((Reitingai!$C$2-1)-2),Rezultatai!$D$2:$D$500,"Papildomi (R+)"),0.15*(SUMIFS(Rezultatai!$J$2:$J$500,Rezultatai!$B$2:$B$500,$K42,Rezultatai!$A$2:$A$500,((Reitingai!$C$2-1)-2),Rezultatai!$D$2:$D$500,"&lt;&gt;Papildomi (R+)"))))*MIN(425,375+(1/70)*(SUMIFS(Parametrai!$B$2:$B$40,Parametrai!$A$2:$A$40,((Reitingai!$C$2-1)-2))-2500)),(SUMIFS(Rezultatai!$J$2:$J$500,Rezultatai!$B$2:$B$500,$K42,Rezultatai!$A$2:$A$500,((Reitingai!$C$2-1)-1),Rezultatai!$D$2:$D$500,"&lt;&gt;Papildomi (R+)")+MIN(SUMIFS(Rezultatai!$J$2:$J$500,Rezultatai!$B$2:$B$500,$K42,Rezultatai!$A$2:$A$500,((Reitingai!$C$2-1)-1),Rezultatai!$D$2:$D$500,"Papildomi (R+)"),0.15*(SUMIFS(Rezultatai!$J$2:$J$500,Rezultatai!$B$2:$B$500,$K42,Rezultatai!$A$2:$A$500,((Reitingai!$C$2-1)-1),Rezultatai!$D$2:$D$500,"&lt;&gt;Papildomi (R+)"))))*MIN(450,400+(1/70)*(SUMIFS(Parametrai!$B$2:$B$40,Parametrai!$A$2:$A$40,((Reitingai!$C$2-1)-1))-2500)),(SUMIFS(Rezultatai!$J$2:$J$500,Rezultatai!$B$2:$B$500,$K42,Rezultatai!$A$2:$A$500,(Reitingai!$C$2-1),Rezultatai!$D$2:$D$500,"&lt;&gt;Papildomi (R+)")+MIN(SUMIFS(Rezultatai!$J$2:$J$500,Rezultatai!$B$2:$B$500,$K42,Rezultatai!$A$2:$A$500,(Reitingai!$C$2-1),Rezultatai!$D$2:$D$500,"Papildomi (R+)"),0.15*(SUMIFS(Rezultatai!$J$2:$J$500,Rezultatai!$B$2:$B$500,$K42,Rezultatai!$A$2:$A$500,(Reitingai!$C$2-1),Rezultatai!$D$2:$D$500,"&lt;&gt;Papildomi (R+)"))))*MIN(550,450+(1/35)*(SUMIFS(Parametrai!$B$2:$B$40,Parametrai!$A$2:$A$40,(Reitingai!$C$2-1))-2500)))-MIN((SUMIFS(Rezultatai!$J$2:$J$500,Rezultatai!$B$2:$B$500,$K42,Rezultatai!$A$2:$A$500,((Reitingai!$C$2-1)-2),Rezultatai!$D$2:$D$500,"&lt;&gt;Papildomi (R+)")+MIN(SUMIFS(Rezultatai!$J$2:$J$500,Rezultatai!$B$2:$B$500,$K42,Rezultatai!$A$2:$A$500,((Reitingai!$C$2-1)-2),Rezultatai!$D$2:$D$500,"Papildomi (R+)"),0.15*(SUMIFS(Rezultatai!$J$2:$J$500,Rezultatai!$B$2:$B$500,$K42,Rezultatai!$A$2:$A$500,((Reitingai!$C$2-1)-2),Rezultatai!$D$2:$D$500,"&lt;&gt;Papildomi (R+)"))))*MIN(425,375+(1/70)*(SUMIFS(Parametrai!$B$2:$B$40,Parametrai!$A$2:$A$40,((Reitingai!$C$2-1)-2))-2500)),(SUMIFS(Rezultatai!$J$2:$J$500,Rezultatai!$B$2:$B$500,$K42,Rezultatai!$A$2:$A$500,((Reitingai!$C$2-1)-1),Rezultatai!$D$2:$D$500,"&lt;&gt;Papildomi (R+)")+MIN(SUMIFS(Rezultatai!$J$2:$J$500,Rezultatai!$B$2:$B$500,$K42,Rezultatai!$A$2:$A$500,((Reitingai!$C$2-1)-1),Rezultatai!$D$2:$D$500,"Papildomi (R+)"),0.15*(SUMIFS(Rezultatai!$J$2:$J$500,Rezultatai!$B$2:$B$500,$K42,Rezultatai!$A$2:$A$500,((Reitingai!$C$2-1)-1),Rezultatai!$D$2:$D$500,"&lt;&gt;Papildomi (R+)"))))*MIN(450,400+(1/70)*(SUMIFS(Parametrai!$B$2:$B$40,Parametrai!$A$2:$A$40,((Reitingai!$C$2-1)-1))-2500)),(SUMIFS(Rezultatai!$J$2:$J$500,Rezultatai!$B$2:$B$500,$K42,Rezultatai!$A$2:$A$500,(Reitingai!$C$2-1),Rezultatai!$D$2:$D$500,"&lt;&gt;Papildomi (R+)")+MIN(SUMIFS(Rezultatai!$J$2:$J$500,Rezultatai!$B$2:$B$500,$K42,Rezultatai!$A$2:$A$500,(Reitingai!$C$2-1),Rezultatai!$D$2:$D$500,"Papildomi (R+)"),0.15*(SUMIFS(Rezultatai!$J$2:$J$500,Rezultatai!$B$2:$B$500,$K42,Rezultatai!$A$2:$A$500,(Reitingai!$C$2-1),Rezultatai!$D$2:$D$500,"&lt;&gt;Papildomi (R+)"))))*MIN(550,450+(1/35)*(SUMIFS(Parametrai!$B$2:$B$40,Parametrai!$A$2:$A$40,(Reitingai!$C$2-1))-2500))))</f>
        <v>0</v>
      </c>
      <c r="O42" s="17">
        <f t="shared" si="18"/>
        <v>23</v>
      </c>
      <c r="P42" s="17">
        <f t="shared" si="19"/>
        <v>30</v>
      </c>
      <c r="Q42" s="17">
        <f>IF($K42="","",$O42+COUNTIF($O$6:$O42,$O42)-1)</f>
        <v>37</v>
      </c>
    </row>
    <row r="43" spans="1:17" ht="15" customHeight="1" x14ac:dyDescent="0.3">
      <c r="A43" s="13">
        <f>IFERROR(MATCH(38,$Q$6:$Q$105,0),"")</f>
        <v>38</v>
      </c>
      <c r="B43" s="13" t="str">
        <f t="shared" si="10"/>
        <v>Romualdas Knėpa</v>
      </c>
      <c r="C43" s="13" t="str">
        <f t="shared" si="11"/>
        <v>Kauno AASK</v>
      </c>
      <c r="D43" s="13">
        <f t="shared" si="12"/>
        <v>23</v>
      </c>
      <c r="E43" s="16">
        <f t="shared" si="13"/>
        <v>30</v>
      </c>
      <c r="F43" s="30">
        <f t="shared" si="14"/>
        <v>7</v>
      </c>
      <c r="G43" s="14">
        <f t="shared" si="15"/>
        <v>0</v>
      </c>
      <c r="H43" s="14">
        <f t="shared" si="16"/>
        <v>0</v>
      </c>
      <c r="I43" s="31">
        <f t="shared" si="17"/>
        <v>0</v>
      </c>
      <c r="K43" s="17" t="str">
        <f>IF(Pilotai!B39="","",Pilotai!B39)</f>
        <v>Romualdas Knėpa</v>
      </c>
      <c r="L43" s="17" t="str">
        <f>IF($K43="","",Pilotai!C39)</f>
        <v>Kauno AASK</v>
      </c>
      <c r="M43" s="18">
        <f>IF($K43="","",IFERROR(INDEX(Reitingai!$G$6:$G$105,MATCH($K43,Reitingai!$B$6:$B$105,0)),0))</f>
        <v>0</v>
      </c>
      <c r="N43" s="18">
        <f>IF($K43="","",SUM((SUMIFS(Rezultatai!$J$2:$J$500,Rezultatai!$B$2:$B$500,$K43,Rezultatai!$A$2:$A$500,((Reitingai!$C$2-1)-2),Rezultatai!$D$2:$D$500,"&lt;&gt;Papildomi (R+)")+MIN(SUMIFS(Rezultatai!$J$2:$J$500,Rezultatai!$B$2:$B$500,$K43,Rezultatai!$A$2:$A$500,((Reitingai!$C$2-1)-2),Rezultatai!$D$2:$D$500,"Papildomi (R+)"),0.15*(SUMIFS(Rezultatai!$J$2:$J$500,Rezultatai!$B$2:$B$500,$K43,Rezultatai!$A$2:$A$500,((Reitingai!$C$2-1)-2),Rezultatai!$D$2:$D$500,"&lt;&gt;Papildomi (R+)"))))*MIN(425,375+(1/70)*(SUMIFS(Parametrai!$B$2:$B$40,Parametrai!$A$2:$A$40,((Reitingai!$C$2-1)-2))-2500)),(SUMIFS(Rezultatai!$J$2:$J$500,Rezultatai!$B$2:$B$500,$K43,Rezultatai!$A$2:$A$500,((Reitingai!$C$2-1)-1),Rezultatai!$D$2:$D$500,"&lt;&gt;Papildomi (R+)")+MIN(SUMIFS(Rezultatai!$J$2:$J$500,Rezultatai!$B$2:$B$500,$K43,Rezultatai!$A$2:$A$500,((Reitingai!$C$2-1)-1),Rezultatai!$D$2:$D$500,"Papildomi (R+)"),0.15*(SUMIFS(Rezultatai!$J$2:$J$500,Rezultatai!$B$2:$B$500,$K43,Rezultatai!$A$2:$A$500,((Reitingai!$C$2-1)-1),Rezultatai!$D$2:$D$500,"&lt;&gt;Papildomi (R+)"))))*MIN(450,400+(1/70)*(SUMIFS(Parametrai!$B$2:$B$40,Parametrai!$A$2:$A$40,((Reitingai!$C$2-1)-1))-2500)),(SUMIFS(Rezultatai!$J$2:$J$500,Rezultatai!$B$2:$B$500,$K43,Rezultatai!$A$2:$A$500,(Reitingai!$C$2-1),Rezultatai!$D$2:$D$500,"&lt;&gt;Papildomi (R+)")+MIN(SUMIFS(Rezultatai!$J$2:$J$500,Rezultatai!$B$2:$B$500,$K43,Rezultatai!$A$2:$A$500,(Reitingai!$C$2-1),Rezultatai!$D$2:$D$500,"Papildomi (R+)"),0.15*(SUMIFS(Rezultatai!$J$2:$J$500,Rezultatai!$B$2:$B$500,$K43,Rezultatai!$A$2:$A$500,(Reitingai!$C$2-1),Rezultatai!$D$2:$D$500,"&lt;&gt;Papildomi (R+)"))))*MIN(550,450+(1/35)*(SUMIFS(Parametrai!$B$2:$B$40,Parametrai!$A$2:$A$40,(Reitingai!$C$2-1))-2500)))-MIN((SUMIFS(Rezultatai!$J$2:$J$500,Rezultatai!$B$2:$B$500,$K43,Rezultatai!$A$2:$A$500,((Reitingai!$C$2-1)-2),Rezultatai!$D$2:$D$500,"&lt;&gt;Papildomi (R+)")+MIN(SUMIFS(Rezultatai!$J$2:$J$500,Rezultatai!$B$2:$B$500,$K43,Rezultatai!$A$2:$A$500,((Reitingai!$C$2-1)-2),Rezultatai!$D$2:$D$500,"Papildomi (R+)"),0.15*(SUMIFS(Rezultatai!$J$2:$J$500,Rezultatai!$B$2:$B$500,$K43,Rezultatai!$A$2:$A$500,((Reitingai!$C$2-1)-2),Rezultatai!$D$2:$D$500,"&lt;&gt;Papildomi (R+)"))))*MIN(425,375+(1/70)*(SUMIFS(Parametrai!$B$2:$B$40,Parametrai!$A$2:$A$40,((Reitingai!$C$2-1)-2))-2500)),(SUMIFS(Rezultatai!$J$2:$J$500,Rezultatai!$B$2:$B$500,$K43,Rezultatai!$A$2:$A$500,((Reitingai!$C$2-1)-1),Rezultatai!$D$2:$D$500,"&lt;&gt;Papildomi (R+)")+MIN(SUMIFS(Rezultatai!$J$2:$J$500,Rezultatai!$B$2:$B$500,$K43,Rezultatai!$A$2:$A$500,((Reitingai!$C$2-1)-1),Rezultatai!$D$2:$D$500,"Papildomi (R+)"),0.15*(SUMIFS(Rezultatai!$J$2:$J$500,Rezultatai!$B$2:$B$500,$K43,Rezultatai!$A$2:$A$500,((Reitingai!$C$2-1)-1),Rezultatai!$D$2:$D$500,"&lt;&gt;Papildomi (R+)"))))*MIN(450,400+(1/70)*(SUMIFS(Parametrai!$B$2:$B$40,Parametrai!$A$2:$A$40,((Reitingai!$C$2-1)-1))-2500)),(SUMIFS(Rezultatai!$J$2:$J$500,Rezultatai!$B$2:$B$500,$K43,Rezultatai!$A$2:$A$500,(Reitingai!$C$2-1),Rezultatai!$D$2:$D$500,"&lt;&gt;Papildomi (R+)")+MIN(SUMIFS(Rezultatai!$J$2:$J$500,Rezultatai!$B$2:$B$500,$K43,Rezultatai!$A$2:$A$500,(Reitingai!$C$2-1),Rezultatai!$D$2:$D$500,"Papildomi (R+)"),0.15*(SUMIFS(Rezultatai!$J$2:$J$500,Rezultatai!$B$2:$B$500,$K43,Rezultatai!$A$2:$A$500,(Reitingai!$C$2-1),Rezultatai!$D$2:$D$500,"&lt;&gt;Papildomi (R+)"))))*MIN(550,450+(1/35)*(SUMIFS(Parametrai!$B$2:$B$40,Parametrai!$A$2:$A$40,(Reitingai!$C$2-1))-2500))))</f>
        <v>0</v>
      </c>
      <c r="O43" s="17">
        <f t="shared" si="18"/>
        <v>23</v>
      </c>
      <c r="P43" s="17">
        <f t="shared" si="19"/>
        <v>30</v>
      </c>
      <c r="Q43" s="17">
        <f>IF($K43="","",$O43+COUNTIF($O$6:$O43,$O43)-1)</f>
        <v>38</v>
      </c>
    </row>
    <row r="44" spans="1:17" ht="15" customHeight="1" x14ac:dyDescent="0.3">
      <c r="A44" s="13">
        <f>IFERROR(MATCH(39,$Q$6:$Q$105,0),"")</f>
        <v>39</v>
      </c>
      <c r="B44" s="13" t="str">
        <f t="shared" si="10"/>
        <v>Martynas Bykovas</v>
      </c>
      <c r="C44" s="13" t="str">
        <f t="shared" si="11"/>
        <v>Kauno AASK</v>
      </c>
      <c r="D44" s="13">
        <f t="shared" si="12"/>
        <v>23</v>
      </c>
      <c r="E44" s="16">
        <f t="shared" si="13"/>
        <v>30</v>
      </c>
      <c r="F44" s="30">
        <f t="shared" si="14"/>
        <v>7</v>
      </c>
      <c r="G44" s="14">
        <f t="shared" si="15"/>
        <v>0</v>
      </c>
      <c r="H44" s="14">
        <f t="shared" si="16"/>
        <v>0</v>
      </c>
      <c r="I44" s="31">
        <f t="shared" si="17"/>
        <v>0</v>
      </c>
      <c r="K44" s="17" t="str">
        <f>IF(Pilotai!B40="","",Pilotai!B40)</f>
        <v>Martynas Bykovas</v>
      </c>
      <c r="L44" s="17" t="str">
        <f>IF($K44="","",Pilotai!C40)</f>
        <v>Kauno AASK</v>
      </c>
      <c r="M44" s="18">
        <f>IF($K44="","",IFERROR(INDEX(Reitingai!$G$6:$G$105,MATCH($K44,Reitingai!$B$6:$B$105,0)),0))</f>
        <v>0</v>
      </c>
      <c r="N44" s="18">
        <f>IF($K44="","",SUM((SUMIFS(Rezultatai!$J$2:$J$500,Rezultatai!$B$2:$B$500,$K44,Rezultatai!$A$2:$A$500,((Reitingai!$C$2-1)-2),Rezultatai!$D$2:$D$500,"&lt;&gt;Papildomi (R+)")+MIN(SUMIFS(Rezultatai!$J$2:$J$500,Rezultatai!$B$2:$B$500,$K44,Rezultatai!$A$2:$A$500,((Reitingai!$C$2-1)-2),Rezultatai!$D$2:$D$500,"Papildomi (R+)"),0.15*(SUMIFS(Rezultatai!$J$2:$J$500,Rezultatai!$B$2:$B$500,$K44,Rezultatai!$A$2:$A$500,((Reitingai!$C$2-1)-2),Rezultatai!$D$2:$D$500,"&lt;&gt;Papildomi (R+)"))))*MIN(425,375+(1/70)*(SUMIFS(Parametrai!$B$2:$B$40,Parametrai!$A$2:$A$40,((Reitingai!$C$2-1)-2))-2500)),(SUMIFS(Rezultatai!$J$2:$J$500,Rezultatai!$B$2:$B$500,$K44,Rezultatai!$A$2:$A$500,((Reitingai!$C$2-1)-1),Rezultatai!$D$2:$D$500,"&lt;&gt;Papildomi (R+)")+MIN(SUMIFS(Rezultatai!$J$2:$J$500,Rezultatai!$B$2:$B$500,$K44,Rezultatai!$A$2:$A$500,((Reitingai!$C$2-1)-1),Rezultatai!$D$2:$D$500,"Papildomi (R+)"),0.15*(SUMIFS(Rezultatai!$J$2:$J$500,Rezultatai!$B$2:$B$500,$K44,Rezultatai!$A$2:$A$500,((Reitingai!$C$2-1)-1),Rezultatai!$D$2:$D$500,"&lt;&gt;Papildomi (R+)"))))*MIN(450,400+(1/70)*(SUMIFS(Parametrai!$B$2:$B$40,Parametrai!$A$2:$A$40,((Reitingai!$C$2-1)-1))-2500)),(SUMIFS(Rezultatai!$J$2:$J$500,Rezultatai!$B$2:$B$500,$K44,Rezultatai!$A$2:$A$500,(Reitingai!$C$2-1),Rezultatai!$D$2:$D$500,"&lt;&gt;Papildomi (R+)")+MIN(SUMIFS(Rezultatai!$J$2:$J$500,Rezultatai!$B$2:$B$500,$K44,Rezultatai!$A$2:$A$500,(Reitingai!$C$2-1),Rezultatai!$D$2:$D$500,"Papildomi (R+)"),0.15*(SUMIFS(Rezultatai!$J$2:$J$500,Rezultatai!$B$2:$B$500,$K44,Rezultatai!$A$2:$A$500,(Reitingai!$C$2-1),Rezultatai!$D$2:$D$500,"&lt;&gt;Papildomi (R+)"))))*MIN(550,450+(1/35)*(SUMIFS(Parametrai!$B$2:$B$40,Parametrai!$A$2:$A$40,(Reitingai!$C$2-1))-2500)))-MIN((SUMIFS(Rezultatai!$J$2:$J$500,Rezultatai!$B$2:$B$500,$K44,Rezultatai!$A$2:$A$500,((Reitingai!$C$2-1)-2),Rezultatai!$D$2:$D$500,"&lt;&gt;Papildomi (R+)")+MIN(SUMIFS(Rezultatai!$J$2:$J$500,Rezultatai!$B$2:$B$500,$K44,Rezultatai!$A$2:$A$500,((Reitingai!$C$2-1)-2),Rezultatai!$D$2:$D$500,"Papildomi (R+)"),0.15*(SUMIFS(Rezultatai!$J$2:$J$500,Rezultatai!$B$2:$B$500,$K44,Rezultatai!$A$2:$A$500,((Reitingai!$C$2-1)-2),Rezultatai!$D$2:$D$500,"&lt;&gt;Papildomi (R+)"))))*MIN(425,375+(1/70)*(SUMIFS(Parametrai!$B$2:$B$40,Parametrai!$A$2:$A$40,((Reitingai!$C$2-1)-2))-2500)),(SUMIFS(Rezultatai!$J$2:$J$500,Rezultatai!$B$2:$B$500,$K44,Rezultatai!$A$2:$A$500,((Reitingai!$C$2-1)-1),Rezultatai!$D$2:$D$500,"&lt;&gt;Papildomi (R+)")+MIN(SUMIFS(Rezultatai!$J$2:$J$500,Rezultatai!$B$2:$B$500,$K44,Rezultatai!$A$2:$A$500,((Reitingai!$C$2-1)-1),Rezultatai!$D$2:$D$500,"Papildomi (R+)"),0.15*(SUMIFS(Rezultatai!$J$2:$J$500,Rezultatai!$B$2:$B$500,$K44,Rezultatai!$A$2:$A$500,((Reitingai!$C$2-1)-1),Rezultatai!$D$2:$D$500,"&lt;&gt;Papildomi (R+)"))))*MIN(450,400+(1/70)*(SUMIFS(Parametrai!$B$2:$B$40,Parametrai!$A$2:$A$40,((Reitingai!$C$2-1)-1))-2500)),(SUMIFS(Rezultatai!$J$2:$J$500,Rezultatai!$B$2:$B$500,$K44,Rezultatai!$A$2:$A$500,(Reitingai!$C$2-1),Rezultatai!$D$2:$D$500,"&lt;&gt;Papildomi (R+)")+MIN(SUMIFS(Rezultatai!$J$2:$J$500,Rezultatai!$B$2:$B$500,$K44,Rezultatai!$A$2:$A$500,(Reitingai!$C$2-1),Rezultatai!$D$2:$D$500,"Papildomi (R+)"),0.15*(SUMIFS(Rezultatai!$J$2:$J$500,Rezultatai!$B$2:$B$500,$K44,Rezultatai!$A$2:$A$500,(Reitingai!$C$2-1),Rezultatai!$D$2:$D$500,"&lt;&gt;Papildomi (R+)"))))*MIN(550,450+(1/35)*(SUMIFS(Parametrai!$B$2:$B$40,Parametrai!$A$2:$A$40,(Reitingai!$C$2-1))-2500))))</f>
        <v>0</v>
      </c>
      <c r="O44" s="17">
        <f t="shared" si="18"/>
        <v>23</v>
      </c>
      <c r="P44" s="17">
        <f t="shared" si="19"/>
        <v>30</v>
      </c>
      <c r="Q44" s="17">
        <f>IF($K44="","",$O44+COUNTIF($O$6:$O44,$O44)-1)</f>
        <v>39</v>
      </c>
    </row>
    <row r="45" spans="1:17" ht="15" customHeight="1" x14ac:dyDescent="0.3">
      <c r="A45" s="13">
        <f>IFERROR(MATCH(40,$Q$6:$Q$105,0),"")</f>
        <v>40</v>
      </c>
      <c r="B45" s="13" t="str">
        <f t="shared" si="10"/>
        <v>Kęstutis Miliūnas</v>
      </c>
      <c r="C45" s="13" t="str">
        <f t="shared" si="11"/>
        <v>Kauno AASK</v>
      </c>
      <c r="D45" s="13">
        <f t="shared" si="12"/>
        <v>23</v>
      </c>
      <c r="E45" s="16">
        <f t="shared" si="13"/>
        <v>30</v>
      </c>
      <c r="F45" s="30">
        <f t="shared" si="14"/>
        <v>7</v>
      </c>
      <c r="G45" s="14">
        <f t="shared" si="15"/>
        <v>0</v>
      </c>
      <c r="H45" s="14">
        <f t="shared" si="16"/>
        <v>0</v>
      </c>
      <c r="I45" s="31">
        <f t="shared" si="17"/>
        <v>0</v>
      </c>
      <c r="K45" s="17" t="str">
        <f>IF(Pilotai!B41="","",Pilotai!B41)</f>
        <v>Kęstutis Miliūnas</v>
      </c>
      <c r="L45" s="17" t="str">
        <f>IF($K45="","",Pilotai!C41)</f>
        <v>Kauno AASK</v>
      </c>
      <c r="M45" s="18">
        <f>IF($K45="","",IFERROR(INDEX(Reitingai!$G$6:$G$105,MATCH($K45,Reitingai!$B$6:$B$105,0)),0))</f>
        <v>0</v>
      </c>
      <c r="N45" s="18">
        <f>IF($K45="","",SUM((SUMIFS(Rezultatai!$J$2:$J$500,Rezultatai!$B$2:$B$500,$K45,Rezultatai!$A$2:$A$500,((Reitingai!$C$2-1)-2),Rezultatai!$D$2:$D$500,"&lt;&gt;Papildomi (R+)")+MIN(SUMIFS(Rezultatai!$J$2:$J$500,Rezultatai!$B$2:$B$500,$K45,Rezultatai!$A$2:$A$500,((Reitingai!$C$2-1)-2),Rezultatai!$D$2:$D$500,"Papildomi (R+)"),0.15*(SUMIFS(Rezultatai!$J$2:$J$500,Rezultatai!$B$2:$B$500,$K45,Rezultatai!$A$2:$A$500,((Reitingai!$C$2-1)-2),Rezultatai!$D$2:$D$500,"&lt;&gt;Papildomi (R+)"))))*MIN(425,375+(1/70)*(SUMIFS(Parametrai!$B$2:$B$40,Parametrai!$A$2:$A$40,((Reitingai!$C$2-1)-2))-2500)),(SUMIFS(Rezultatai!$J$2:$J$500,Rezultatai!$B$2:$B$500,$K45,Rezultatai!$A$2:$A$500,((Reitingai!$C$2-1)-1),Rezultatai!$D$2:$D$500,"&lt;&gt;Papildomi (R+)")+MIN(SUMIFS(Rezultatai!$J$2:$J$500,Rezultatai!$B$2:$B$500,$K45,Rezultatai!$A$2:$A$500,((Reitingai!$C$2-1)-1),Rezultatai!$D$2:$D$500,"Papildomi (R+)"),0.15*(SUMIFS(Rezultatai!$J$2:$J$500,Rezultatai!$B$2:$B$500,$K45,Rezultatai!$A$2:$A$500,((Reitingai!$C$2-1)-1),Rezultatai!$D$2:$D$500,"&lt;&gt;Papildomi (R+)"))))*MIN(450,400+(1/70)*(SUMIFS(Parametrai!$B$2:$B$40,Parametrai!$A$2:$A$40,((Reitingai!$C$2-1)-1))-2500)),(SUMIFS(Rezultatai!$J$2:$J$500,Rezultatai!$B$2:$B$500,$K45,Rezultatai!$A$2:$A$500,(Reitingai!$C$2-1),Rezultatai!$D$2:$D$500,"&lt;&gt;Papildomi (R+)")+MIN(SUMIFS(Rezultatai!$J$2:$J$500,Rezultatai!$B$2:$B$500,$K45,Rezultatai!$A$2:$A$500,(Reitingai!$C$2-1),Rezultatai!$D$2:$D$500,"Papildomi (R+)"),0.15*(SUMIFS(Rezultatai!$J$2:$J$500,Rezultatai!$B$2:$B$500,$K45,Rezultatai!$A$2:$A$500,(Reitingai!$C$2-1),Rezultatai!$D$2:$D$500,"&lt;&gt;Papildomi (R+)"))))*MIN(550,450+(1/35)*(SUMIFS(Parametrai!$B$2:$B$40,Parametrai!$A$2:$A$40,(Reitingai!$C$2-1))-2500)))-MIN((SUMIFS(Rezultatai!$J$2:$J$500,Rezultatai!$B$2:$B$500,$K45,Rezultatai!$A$2:$A$500,((Reitingai!$C$2-1)-2),Rezultatai!$D$2:$D$500,"&lt;&gt;Papildomi (R+)")+MIN(SUMIFS(Rezultatai!$J$2:$J$500,Rezultatai!$B$2:$B$500,$K45,Rezultatai!$A$2:$A$500,((Reitingai!$C$2-1)-2),Rezultatai!$D$2:$D$500,"Papildomi (R+)"),0.15*(SUMIFS(Rezultatai!$J$2:$J$500,Rezultatai!$B$2:$B$500,$K45,Rezultatai!$A$2:$A$500,((Reitingai!$C$2-1)-2),Rezultatai!$D$2:$D$500,"&lt;&gt;Papildomi (R+)"))))*MIN(425,375+(1/70)*(SUMIFS(Parametrai!$B$2:$B$40,Parametrai!$A$2:$A$40,((Reitingai!$C$2-1)-2))-2500)),(SUMIFS(Rezultatai!$J$2:$J$500,Rezultatai!$B$2:$B$500,$K45,Rezultatai!$A$2:$A$500,((Reitingai!$C$2-1)-1),Rezultatai!$D$2:$D$500,"&lt;&gt;Papildomi (R+)")+MIN(SUMIFS(Rezultatai!$J$2:$J$500,Rezultatai!$B$2:$B$500,$K45,Rezultatai!$A$2:$A$500,((Reitingai!$C$2-1)-1),Rezultatai!$D$2:$D$500,"Papildomi (R+)"),0.15*(SUMIFS(Rezultatai!$J$2:$J$500,Rezultatai!$B$2:$B$500,$K45,Rezultatai!$A$2:$A$500,((Reitingai!$C$2-1)-1),Rezultatai!$D$2:$D$500,"&lt;&gt;Papildomi (R+)"))))*MIN(450,400+(1/70)*(SUMIFS(Parametrai!$B$2:$B$40,Parametrai!$A$2:$A$40,((Reitingai!$C$2-1)-1))-2500)),(SUMIFS(Rezultatai!$J$2:$J$500,Rezultatai!$B$2:$B$500,$K45,Rezultatai!$A$2:$A$500,(Reitingai!$C$2-1),Rezultatai!$D$2:$D$500,"&lt;&gt;Papildomi (R+)")+MIN(SUMIFS(Rezultatai!$J$2:$J$500,Rezultatai!$B$2:$B$500,$K45,Rezultatai!$A$2:$A$500,(Reitingai!$C$2-1),Rezultatai!$D$2:$D$500,"Papildomi (R+)"),0.15*(SUMIFS(Rezultatai!$J$2:$J$500,Rezultatai!$B$2:$B$500,$K45,Rezultatai!$A$2:$A$500,(Reitingai!$C$2-1),Rezultatai!$D$2:$D$500,"&lt;&gt;Papildomi (R+)"))))*MIN(550,450+(1/35)*(SUMIFS(Parametrai!$B$2:$B$40,Parametrai!$A$2:$A$40,(Reitingai!$C$2-1))-2500))))</f>
        <v>0</v>
      </c>
      <c r="O45" s="17">
        <f t="shared" si="18"/>
        <v>23</v>
      </c>
      <c r="P45" s="17">
        <f t="shared" si="19"/>
        <v>30</v>
      </c>
      <c r="Q45" s="17">
        <f>IF($K45="","",$O45+COUNTIF($O$6:$O45,$O45)-1)</f>
        <v>40</v>
      </c>
    </row>
    <row r="46" spans="1:17" ht="15" customHeight="1" x14ac:dyDescent="0.3">
      <c r="A46" s="13">
        <f>IFERROR(MATCH(41,$Q$6:$Q$105,0),"")</f>
        <v>41</v>
      </c>
      <c r="B46" s="13" t="str">
        <f t="shared" si="10"/>
        <v>Romualdas Konteikis</v>
      </c>
      <c r="C46" s="13" t="str">
        <f t="shared" si="11"/>
        <v>Kauno AASK</v>
      </c>
      <c r="D46" s="13">
        <f t="shared" si="12"/>
        <v>23</v>
      </c>
      <c r="E46" s="16">
        <f t="shared" si="13"/>
        <v>30</v>
      </c>
      <c r="F46" s="30">
        <f t="shared" si="14"/>
        <v>7</v>
      </c>
      <c r="G46" s="14">
        <f t="shared" si="15"/>
        <v>0</v>
      </c>
      <c r="H46" s="14">
        <f t="shared" si="16"/>
        <v>0</v>
      </c>
      <c r="I46" s="31">
        <f t="shared" si="17"/>
        <v>0</v>
      </c>
      <c r="K46" s="17" t="str">
        <f>IF(Pilotai!B42="","",Pilotai!B42)</f>
        <v>Romualdas Konteikis</v>
      </c>
      <c r="L46" s="17" t="str">
        <f>IF($K46="","",Pilotai!C42)</f>
        <v>Kauno AASK</v>
      </c>
      <c r="M46" s="18">
        <f>IF($K46="","",IFERROR(INDEX(Reitingai!$G$6:$G$105,MATCH($K46,Reitingai!$B$6:$B$105,0)),0))</f>
        <v>0</v>
      </c>
      <c r="N46" s="18">
        <f>IF($K46="","",SUM((SUMIFS(Rezultatai!$J$2:$J$500,Rezultatai!$B$2:$B$500,$K46,Rezultatai!$A$2:$A$500,((Reitingai!$C$2-1)-2),Rezultatai!$D$2:$D$500,"&lt;&gt;Papildomi (R+)")+MIN(SUMIFS(Rezultatai!$J$2:$J$500,Rezultatai!$B$2:$B$500,$K46,Rezultatai!$A$2:$A$500,((Reitingai!$C$2-1)-2),Rezultatai!$D$2:$D$500,"Papildomi (R+)"),0.15*(SUMIFS(Rezultatai!$J$2:$J$500,Rezultatai!$B$2:$B$500,$K46,Rezultatai!$A$2:$A$500,((Reitingai!$C$2-1)-2),Rezultatai!$D$2:$D$500,"&lt;&gt;Papildomi (R+)"))))*MIN(425,375+(1/70)*(SUMIFS(Parametrai!$B$2:$B$40,Parametrai!$A$2:$A$40,((Reitingai!$C$2-1)-2))-2500)),(SUMIFS(Rezultatai!$J$2:$J$500,Rezultatai!$B$2:$B$500,$K46,Rezultatai!$A$2:$A$500,((Reitingai!$C$2-1)-1),Rezultatai!$D$2:$D$500,"&lt;&gt;Papildomi (R+)")+MIN(SUMIFS(Rezultatai!$J$2:$J$500,Rezultatai!$B$2:$B$500,$K46,Rezultatai!$A$2:$A$500,((Reitingai!$C$2-1)-1),Rezultatai!$D$2:$D$500,"Papildomi (R+)"),0.15*(SUMIFS(Rezultatai!$J$2:$J$500,Rezultatai!$B$2:$B$500,$K46,Rezultatai!$A$2:$A$500,((Reitingai!$C$2-1)-1),Rezultatai!$D$2:$D$500,"&lt;&gt;Papildomi (R+)"))))*MIN(450,400+(1/70)*(SUMIFS(Parametrai!$B$2:$B$40,Parametrai!$A$2:$A$40,((Reitingai!$C$2-1)-1))-2500)),(SUMIFS(Rezultatai!$J$2:$J$500,Rezultatai!$B$2:$B$500,$K46,Rezultatai!$A$2:$A$500,(Reitingai!$C$2-1),Rezultatai!$D$2:$D$500,"&lt;&gt;Papildomi (R+)")+MIN(SUMIFS(Rezultatai!$J$2:$J$500,Rezultatai!$B$2:$B$500,$K46,Rezultatai!$A$2:$A$500,(Reitingai!$C$2-1),Rezultatai!$D$2:$D$500,"Papildomi (R+)"),0.15*(SUMIFS(Rezultatai!$J$2:$J$500,Rezultatai!$B$2:$B$500,$K46,Rezultatai!$A$2:$A$500,(Reitingai!$C$2-1),Rezultatai!$D$2:$D$500,"&lt;&gt;Papildomi (R+)"))))*MIN(550,450+(1/35)*(SUMIFS(Parametrai!$B$2:$B$40,Parametrai!$A$2:$A$40,(Reitingai!$C$2-1))-2500)))-MIN((SUMIFS(Rezultatai!$J$2:$J$500,Rezultatai!$B$2:$B$500,$K46,Rezultatai!$A$2:$A$500,((Reitingai!$C$2-1)-2),Rezultatai!$D$2:$D$500,"&lt;&gt;Papildomi (R+)")+MIN(SUMIFS(Rezultatai!$J$2:$J$500,Rezultatai!$B$2:$B$500,$K46,Rezultatai!$A$2:$A$500,((Reitingai!$C$2-1)-2),Rezultatai!$D$2:$D$500,"Papildomi (R+)"),0.15*(SUMIFS(Rezultatai!$J$2:$J$500,Rezultatai!$B$2:$B$500,$K46,Rezultatai!$A$2:$A$500,((Reitingai!$C$2-1)-2),Rezultatai!$D$2:$D$500,"&lt;&gt;Papildomi (R+)"))))*MIN(425,375+(1/70)*(SUMIFS(Parametrai!$B$2:$B$40,Parametrai!$A$2:$A$40,((Reitingai!$C$2-1)-2))-2500)),(SUMIFS(Rezultatai!$J$2:$J$500,Rezultatai!$B$2:$B$500,$K46,Rezultatai!$A$2:$A$500,((Reitingai!$C$2-1)-1),Rezultatai!$D$2:$D$500,"&lt;&gt;Papildomi (R+)")+MIN(SUMIFS(Rezultatai!$J$2:$J$500,Rezultatai!$B$2:$B$500,$K46,Rezultatai!$A$2:$A$500,((Reitingai!$C$2-1)-1),Rezultatai!$D$2:$D$500,"Papildomi (R+)"),0.15*(SUMIFS(Rezultatai!$J$2:$J$500,Rezultatai!$B$2:$B$500,$K46,Rezultatai!$A$2:$A$500,((Reitingai!$C$2-1)-1),Rezultatai!$D$2:$D$500,"&lt;&gt;Papildomi (R+)"))))*MIN(450,400+(1/70)*(SUMIFS(Parametrai!$B$2:$B$40,Parametrai!$A$2:$A$40,((Reitingai!$C$2-1)-1))-2500)),(SUMIFS(Rezultatai!$J$2:$J$500,Rezultatai!$B$2:$B$500,$K46,Rezultatai!$A$2:$A$500,(Reitingai!$C$2-1),Rezultatai!$D$2:$D$500,"&lt;&gt;Papildomi (R+)")+MIN(SUMIFS(Rezultatai!$J$2:$J$500,Rezultatai!$B$2:$B$500,$K46,Rezultatai!$A$2:$A$500,(Reitingai!$C$2-1),Rezultatai!$D$2:$D$500,"Papildomi (R+)"),0.15*(SUMIFS(Rezultatai!$J$2:$J$500,Rezultatai!$B$2:$B$500,$K46,Rezultatai!$A$2:$A$500,(Reitingai!$C$2-1),Rezultatai!$D$2:$D$500,"&lt;&gt;Papildomi (R+)"))))*MIN(550,450+(1/35)*(SUMIFS(Parametrai!$B$2:$B$40,Parametrai!$A$2:$A$40,(Reitingai!$C$2-1))-2500))))</f>
        <v>0</v>
      </c>
      <c r="O46" s="17">
        <f t="shared" si="18"/>
        <v>23</v>
      </c>
      <c r="P46" s="17">
        <f t="shared" si="19"/>
        <v>30</v>
      </c>
      <c r="Q46" s="17">
        <f>IF($K46="","",$O46+COUNTIF($O$6:$O46,$O46)-1)</f>
        <v>41</v>
      </c>
    </row>
    <row r="47" spans="1:17" ht="15" customHeight="1" x14ac:dyDescent="0.3">
      <c r="A47" s="13">
        <f>IFERROR(MATCH(42,$Q$6:$Q$105,0),"")</f>
        <v>42</v>
      </c>
      <c r="B47" s="13" t="str">
        <f t="shared" si="10"/>
        <v>Sakalas Uždavinys</v>
      </c>
      <c r="C47" s="13" t="str">
        <f t="shared" si="11"/>
        <v>Vilniaus Aeroklubas</v>
      </c>
      <c r="D47" s="13">
        <f t="shared" si="12"/>
        <v>23</v>
      </c>
      <c r="E47" s="16">
        <f t="shared" si="13"/>
        <v>30</v>
      </c>
      <c r="F47" s="30">
        <f t="shared" si="14"/>
        <v>7</v>
      </c>
      <c r="G47" s="14">
        <f t="shared" si="15"/>
        <v>0</v>
      </c>
      <c r="H47" s="14">
        <f t="shared" si="16"/>
        <v>0</v>
      </c>
      <c r="I47" s="31">
        <f t="shared" si="17"/>
        <v>0</v>
      </c>
      <c r="K47" s="17" t="str">
        <f>IF(Pilotai!B43="","",Pilotai!B43)</f>
        <v>Sakalas Uždavinys</v>
      </c>
      <c r="L47" s="17" t="str">
        <f>IF($K47="","",Pilotai!C43)</f>
        <v>Vilniaus Aeroklubas</v>
      </c>
      <c r="M47" s="18">
        <f>IF($K47="","",IFERROR(INDEX(Reitingai!$G$6:$G$105,MATCH($K47,Reitingai!$B$6:$B$105,0)),0))</f>
        <v>0</v>
      </c>
      <c r="N47" s="18">
        <f>IF($K47="","",SUM((SUMIFS(Rezultatai!$J$2:$J$500,Rezultatai!$B$2:$B$500,$K47,Rezultatai!$A$2:$A$500,((Reitingai!$C$2-1)-2),Rezultatai!$D$2:$D$500,"&lt;&gt;Papildomi (R+)")+MIN(SUMIFS(Rezultatai!$J$2:$J$500,Rezultatai!$B$2:$B$500,$K47,Rezultatai!$A$2:$A$500,((Reitingai!$C$2-1)-2),Rezultatai!$D$2:$D$500,"Papildomi (R+)"),0.15*(SUMIFS(Rezultatai!$J$2:$J$500,Rezultatai!$B$2:$B$500,$K47,Rezultatai!$A$2:$A$500,((Reitingai!$C$2-1)-2),Rezultatai!$D$2:$D$500,"&lt;&gt;Papildomi (R+)"))))*MIN(425,375+(1/70)*(SUMIFS(Parametrai!$B$2:$B$40,Parametrai!$A$2:$A$40,((Reitingai!$C$2-1)-2))-2500)),(SUMIFS(Rezultatai!$J$2:$J$500,Rezultatai!$B$2:$B$500,$K47,Rezultatai!$A$2:$A$500,((Reitingai!$C$2-1)-1),Rezultatai!$D$2:$D$500,"&lt;&gt;Papildomi (R+)")+MIN(SUMIFS(Rezultatai!$J$2:$J$500,Rezultatai!$B$2:$B$500,$K47,Rezultatai!$A$2:$A$500,((Reitingai!$C$2-1)-1),Rezultatai!$D$2:$D$500,"Papildomi (R+)"),0.15*(SUMIFS(Rezultatai!$J$2:$J$500,Rezultatai!$B$2:$B$500,$K47,Rezultatai!$A$2:$A$500,((Reitingai!$C$2-1)-1),Rezultatai!$D$2:$D$500,"&lt;&gt;Papildomi (R+)"))))*MIN(450,400+(1/70)*(SUMIFS(Parametrai!$B$2:$B$40,Parametrai!$A$2:$A$40,((Reitingai!$C$2-1)-1))-2500)),(SUMIFS(Rezultatai!$J$2:$J$500,Rezultatai!$B$2:$B$500,$K47,Rezultatai!$A$2:$A$500,(Reitingai!$C$2-1),Rezultatai!$D$2:$D$500,"&lt;&gt;Papildomi (R+)")+MIN(SUMIFS(Rezultatai!$J$2:$J$500,Rezultatai!$B$2:$B$500,$K47,Rezultatai!$A$2:$A$500,(Reitingai!$C$2-1),Rezultatai!$D$2:$D$500,"Papildomi (R+)"),0.15*(SUMIFS(Rezultatai!$J$2:$J$500,Rezultatai!$B$2:$B$500,$K47,Rezultatai!$A$2:$A$500,(Reitingai!$C$2-1),Rezultatai!$D$2:$D$500,"&lt;&gt;Papildomi (R+)"))))*MIN(550,450+(1/35)*(SUMIFS(Parametrai!$B$2:$B$40,Parametrai!$A$2:$A$40,(Reitingai!$C$2-1))-2500)))-MIN((SUMIFS(Rezultatai!$J$2:$J$500,Rezultatai!$B$2:$B$500,$K47,Rezultatai!$A$2:$A$500,((Reitingai!$C$2-1)-2),Rezultatai!$D$2:$D$500,"&lt;&gt;Papildomi (R+)")+MIN(SUMIFS(Rezultatai!$J$2:$J$500,Rezultatai!$B$2:$B$500,$K47,Rezultatai!$A$2:$A$500,((Reitingai!$C$2-1)-2),Rezultatai!$D$2:$D$500,"Papildomi (R+)"),0.15*(SUMIFS(Rezultatai!$J$2:$J$500,Rezultatai!$B$2:$B$500,$K47,Rezultatai!$A$2:$A$500,((Reitingai!$C$2-1)-2),Rezultatai!$D$2:$D$500,"&lt;&gt;Papildomi (R+)"))))*MIN(425,375+(1/70)*(SUMIFS(Parametrai!$B$2:$B$40,Parametrai!$A$2:$A$40,((Reitingai!$C$2-1)-2))-2500)),(SUMIFS(Rezultatai!$J$2:$J$500,Rezultatai!$B$2:$B$500,$K47,Rezultatai!$A$2:$A$500,((Reitingai!$C$2-1)-1),Rezultatai!$D$2:$D$500,"&lt;&gt;Papildomi (R+)")+MIN(SUMIFS(Rezultatai!$J$2:$J$500,Rezultatai!$B$2:$B$500,$K47,Rezultatai!$A$2:$A$500,((Reitingai!$C$2-1)-1),Rezultatai!$D$2:$D$500,"Papildomi (R+)"),0.15*(SUMIFS(Rezultatai!$J$2:$J$500,Rezultatai!$B$2:$B$500,$K47,Rezultatai!$A$2:$A$500,((Reitingai!$C$2-1)-1),Rezultatai!$D$2:$D$500,"&lt;&gt;Papildomi (R+)"))))*MIN(450,400+(1/70)*(SUMIFS(Parametrai!$B$2:$B$40,Parametrai!$A$2:$A$40,((Reitingai!$C$2-1)-1))-2500)),(SUMIFS(Rezultatai!$J$2:$J$500,Rezultatai!$B$2:$B$500,$K47,Rezultatai!$A$2:$A$500,(Reitingai!$C$2-1),Rezultatai!$D$2:$D$500,"&lt;&gt;Papildomi (R+)")+MIN(SUMIFS(Rezultatai!$J$2:$J$500,Rezultatai!$B$2:$B$500,$K47,Rezultatai!$A$2:$A$500,(Reitingai!$C$2-1),Rezultatai!$D$2:$D$500,"Papildomi (R+)"),0.15*(SUMIFS(Rezultatai!$J$2:$J$500,Rezultatai!$B$2:$B$500,$K47,Rezultatai!$A$2:$A$500,(Reitingai!$C$2-1),Rezultatai!$D$2:$D$500,"&lt;&gt;Papildomi (R+)"))))*MIN(550,450+(1/35)*(SUMIFS(Parametrai!$B$2:$B$40,Parametrai!$A$2:$A$40,(Reitingai!$C$2-1))-2500))))</f>
        <v>0</v>
      </c>
      <c r="O47" s="17">
        <f t="shared" si="18"/>
        <v>23</v>
      </c>
      <c r="P47" s="17">
        <f t="shared" si="19"/>
        <v>30</v>
      </c>
      <c r="Q47" s="17">
        <f>IF($K47="","",$O47+COUNTIF($O$6:$O47,$O47)-1)</f>
        <v>42</v>
      </c>
    </row>
    <row r="48" spans="1:17" ht="15" customHeight="1" x14ac:dyDescent="0.3">
      <c r="A48" s="13">
        <f>IFERROR(MATCH(43,$Q$6:$Q$105,0),"")</f>
        <v>43</v>
      </c>
      <c r="B48" s="13" t="str">
        <f t="shared" si="10"/>
        <v>Martynas Sližys</v>
      </c>
      <c r="C48" s="13" t="str">
        <f t="shared" si="11"/>
        <v>Kauno AASK</v>
      </c>
      <c r="D48" s="13">
        <f t="shared" si="12"/>
        <v>23</v>
      </c>
      <c r="E48" s="16">
        <f t="shared" si="13"/>
        <v>30</v>
      </c>
      <c r="F48" s="30">
        <f t="shared" si="14"/>
        <v>7</v>
      </c>
      <c r="G48" s="14">
        <f t="shared" si="15"/>
        <v>0</v>
      </c>
      <c r="H48" s="14">
        <f t="shared" si="16"/>
        <v>0</v>
      </c>
      <c r="I48" s="31">
        <f t="shared" si="17"/>
        <v>0</v>
      </c>
      <c r="K48" s="17" t="str">
        <f>IF(Pilotai!B44="","",Pilotai!B44)</f>
        <v>Martynas Sližys</v>
      </c>
      <c r="L48" s="17" t="str">
        <f>IF($K48="","",Pilotai!C44)</f>
        <v>Kauno AASK</v>
      </c>
      <c r="M48" s="18">
        <f>IF($K48="","",IFERROR(INDEX(Reitingai!$G$6:$G$105,MATCH($K48,Reitingai!$B$6:$B$105,0)),0))</f>
        <v>0</v>
      </c>
      <c r="N48" s="18">
        <f>IF($K48="","",SUM((SUMIFS(Rezultatai!$J$2:$J$500,Rezultatai!$B$2:$B$500,$K48,Rezultatai!$A$2:$A$500,((Reitingai!$C$2-1)-2),Rezultatai!$D$2:$D$500,"&lt;&gt;Papildomi (R+)")+MIN(SUMIFS(Rezultatai!$J$2:$J$500,Rezultatai!$B$2:$B$500,$K48,Rezultatai!$A$2:$A$500,((Reitingai!$C$2-1)-2),Rezultatai!$D$2:$D$500,"Papildomi (R+)"),0.15*(SUMIFS(Rezultatai!$J$2:$J$500,Rezultatai!$B$2:$B$500,$K48,Rezultatai!$A$2:$A$500,((Reitingai!$C$2-1)-2),Rezultatai!$D$2:$D$500,"&lt;&gt;Papildomi (R+)"))))*MIN(425,375+(1/70)*(SUMIFS(Parametrai!$B$2:$B$40,Parametrai!$A$2:$A$40,((Reitingai!$C$2-1)-2))-2500)),(SUMIFS(Rezultatai!$J$2:$J$500,Rezultatai!$B$2:$B$500,$K48,Rezultatai!$A$2:$A$500,((Reitingai!$C$2-1)-1),Rezultatai!$D$2:$D$500,"&lt;&gt;Papildomi (R+)")+MIN(SUMIFS(Rezultatai!$J$2:$J$500,Rezultatai!$B$2:$B$500,$K48,Rezultatai!$A$2:$A$500,((Reitingai!$C$2-1)-1),Rezultatai!$D$2:$D$500,"Papildomi (R+)"),0.15*(SUMIFS(Rezultatai!$J$2:$J$500,Rezultatai!$B$2:$B$500,$K48,Rezultatai!$A$2:$A$500,((Reitingai!$C$2-1)-1),Rezultatai!$D$2:$D$500,"&lt;&gt;Papildomi (R+)"))))*MIN(450,400+(1/70)*(SUMIFS(Parametrai!$B$2:$B$40,Parametrai!$A$2:$A$40,((Reitingai!$C$2-1)-1))-2500)),(SUMIFS(Rezultatai!$J$2:$J$500,Rezultatai!$B$2:$B$500,$K48,Rezultatai!$A$2:$A$500,(Reitingai!$C$2-1),Rezultatai!$D$2:$D$500,"&lt;&gt;Papildomi (R+)")+MIN(SUMIFS(Rezultatai!$J$2:$J$500,Rezultatai!$B$2:$B$500,$K48,Rezultatai!$A$2:$A$500,(Reitingai!$C$2-1),Rezultatai!$D$2:$D$500,"Papildomi (R+)"),0.15*(SUMIFS(Rezultatai!$J$2:$J$500,Rezultatai!$B$2:$B$500,$K48,Rezultatai!$A$2:$A$500,(Reitingai!$C$2-1),Rezultatai!$D$2:$D$500,"&lt;&gt;Papildomi (R+)"))))*MIN(550,450+(1/35)*(SUMIFS(Parametrai!$B$2:$B$40,Parametrai!$A$2:$A$40,(Reitingai!$C$2-1))-2500)))-MIN((SUMIFS(Rezultatai!$J$2:$J$500,Rezultatai!$B$2:$B$500,$K48,Rezultatai!$A$2:$A$500,((Reitingai!$C$2-1)-2),Rezultatai!$D$2:$D$500,"&lt;&gt;Papildomi (R+)")+MIN(SUMIFS(Rezultatai!$J$2:$J$500,Rezultatai!$B$2:$B$500,$K48,Rezultatai!$A$2:$A$500,((Reitingai!$C$2-1)-2),Rezultatai!$D$2:$D$500,"Papildomi (R+)"),0.15*(SUMIFS(Rezultatai!$J$2:$J$500,Rezultatai!$B$2:$B$500,$K48,Rezultatai!$A$2:$A$500,((Reitingai!$C$2-1)-2),Rezultatai!$D$2:$D$500,"&lt;&gt;Papildomi (R+)"))))*MIN(425,375+(1/70)*(SUMIFS(Parametrai!$B$2:$B$40,Parametrai!$A$2:$A$40,((Reitingai!$C$2-1)-2))-2500)),(SUMIFS(Rezultatai!$J$2:$J$500,Rezultatai!$B$2:$B$500,$K48,Rezultatai!$A$2:$A$500,((Reitingai!$C$2-1)-1),Rezultatai!$D$2:$D$500,"&lt;&gt;Papildomi (R+)")+MIN(SUMIFS(Rezultatai!$J$2:$J$500,Rezultatai!$B$2:$B$500,$K48,Rezultatai!$A$2:$A$500,((Reitingai!$C$2-1)-1),Rezultatai!$D$2:$D$500,"Papildomi (R+)"),0.15*(SUMIFS(Rezultatai!$J$2:$J$500,Rezultatai!$B$2:$B$500,$K48,Rezultatai!$A$2:$A$500,((Reitingai!$C$2-1)-1),Rezultatai!$D$2:$D$500,"&lt;&gt;Papildomi (R+)"))))*MIN(450,400+(1/70)*(SUMIFS(Parametrai!$B$2:$B$40,Parametrai!$A$2:$A$40,((Reitingai!$C$2-1)-1))-2500)),(SUMIFS(Rezultatai!$J$2:$J$500,Rezultatai!$B$2:$B$500,$K48,Rezultatai!$A$2:$A$500,(Reitingai!$C$2-1),Rezultatai!$D$2:$D$500,"&lt;&gt;Papildomi (R+)")+MIN(SUMIFS(Rezultatai!$J$2:$J$500,Rezultatai!$B$2:$B$500,$K48,Rezultatai!$A$2:$A$500,(Reitingai!$C$2-1),Rezultatai!$D$2:$D$500,"Papildomi (R+)"),0.15*(SUMIFS(Rezultatai!$J$2:$J$500,Rezultatai!$B$2:$B$500,$K48,Rezultatai!$A$2:$A$500,(Reitingai!$C$2-1),Rezultatai!$D$2:$D$500,"&lt;&gt;Papildomi (R+)"))))*MIN(550,450+(1/35)*(SUMIFS(Parametrai!$B$2:$B$40,Parametrai!$A$2:$A$40,(Reitingai!$C$2-1))-2500))))</f>
        <v>0</v>
      </c>
      <c r="O48" s="17">
        <f t="shared" si="18"/>
        <v>23</v>
      </c>
      <c r="P48" s="17">
        <f t="shared" si="19"/>
        <v>30</v>
      </c>
      <c r="Q48" s="17">
        <f>IF($K48="","",$O48+COUNTIF($O$6:$O48,$O48)-1)</f>
        <v>43</v>
      </c>
    </row>
    <row r="49" spans="1:17" ht="15" customHeight="1" x14ac:dyDescent="0.3">
      <c r="A49" s="13">
        <f>IFERROR(MATCH(44,$Q$6:$Q$105,0),"")</f>
        <v>44</v>
      </c>
      <c r="B49" s="13" t="str">
        <f t="shared" si="10"/>
        <v>Antanas Marčiukaitis</v>
      </c>
      <c r="C49" s="13" t="str">
        <f t="shared" si="11"/>
        <v>Kauno AASK</v>
      </c>
      <c r="D49" s="13">
        <f t="shared" si="12"/>
        <v>23</v>
      </c>
      <c r="E49" s="16">
        <f t="shared" si="13"/>
        <v>30</v>
      </c>
      <c r="F49" s="30">
        <f t="shared" si="14"/>
        <v>7</v>
      </c>
      <c r="G49" s="14">
        <f t="shared" si="15"/>
        <v>0</v>
      </c>
      <c r="H49" s="14">
        <f t="shared" si="16"/>
        <v>0</v>
      </c>
      <c r="I49" s="31">
        <f t="shared" si="17"/>
        <v>0</v>
      </c>
      <c r="K49" s="17" t="str">
        <f>IF(Pilotai!B45="","",Pilotai!B45)</f>
        <v>Antanas Marčiukaitis</v>
      </c>
      <c r="L49" s="17" t="str">
        <f>IF($K49="","",Pilotai!C45)</f>
        <v>Kauno AASK</v>
      </c>
      <c r="M49" s="18">
        <f>IF($K49="","",IFERROR(INDEX(Reitingai!$G$6:$G$105,MATCH($K49,Reitingai!$B$6:$B$105,0)),0))</f>
        <v>0</v>
      </c>
      <c r="N49" s="18">
        <f>IF($K49="","",SUM((SUMIFS(Rezultatai!$J$2:$J$500,Rezultatai!$B$2:$B$500,$K49,Rezultatai!$A$2:$A$500,((Reitingai!$C$2-1)-2),Rezultatai!$D$2:$D$500,"&lt;&gt;Papildomi (R+)")+MIN(SUMIFS(Rezultatai!$J$2:$J$500,Rezultatai!$B$2:$B$500,$K49,Rezultatai!$A$2:$A$500,((Reitingai!$C$2-1)-2),Rezultatai!$D$2:$D$500,"Papildomi (R+)"),0.15*(SUMIFS(Rezultatai!$J$2:$J$500,Rezultatai!$B$2:$B$500,$K49,Rezultatai!$A$2:$A$500,((Reitingai!$C$2-1)-2),Rezultatai!$D$2:$D$500,"&lt;&gt;Papildomi (R+)"))))*MIN(425,375+(1/70)*(SUMIFS(Parametrai!$B$2:$B$40,Parametrai!$A$2:$A$40,((Reitingai!$C$2-1)-2))-2500)),(SUMIFS(Rezultatai!$J$2:$J$500,Rezultatai!$B$2:$B$500,$K49,Rezultatai!$A$2:$A$500,((Reitingai!$C$2-1)-1),Rezultatai!$D$2:$D$500,"&lt;&gt;Papildomi (R+)")+MIN(SUMIFS(Rezultatai!$J$2:$J$500,Rezultatai!$B$2:$B$500,$K49,Rezultatai!$A$2:$A$500,((Reitingai!$C$2-1)-1),Rezultatai!$D$2:$D$500,"Papildomi (R+)"),0.15*(SUMIFS(Rezultatai!$J$2:$J$500,Rezultatai!$B$2:$B$500,$K49,Rezultatai!$A$2:$A$500,((Reitingai!$C$2-1)-1),Rezultatai!$D$2:$D$500,"&lt;&gt;Papildomi (R+)"))))*MIN(450,400+(1/70)*(SUMIFS(Parametrai!$B$2:$B$40,Parametrai!$A$2:$A$40,((Reitingai!$C$2-1)-1))-2500)),(SUMIFS(Rezultatai!$J$2:$J$500,Rezultatai!$B$2:$B$500,$K49,Rezultatai!$A$2:$A$500,(Reitingai!$C$2-1),Rezultatai!$D$2:$D$500,"&lt;&gt;Papildomi (R+)")+MIN(SUMIFS(Rezultatai!$J$2:$J$500,Rezultatai!$B$2:$B$500,$K49,Rezultatai!$A$2:$A$500,(Reitingai!$C$2-1),Rezultatai!$D$2:$D$500,"Papildomi (R+)"),0.15*(SUMIFS(Rezultatai!$J$2:$J$500,Rezultatai!$B$2:$B$500,$K49,Rezultatai!$A$2:$A$500,(Reitingai!$C$2-1),Rezultatai!$D$2:$D$500,"&lt;&gt;Papildomi (R+)"))))*MIN(550,450+(1/35)*(SUMIFS(Parametrai!$B$2:$B$40,Parametrai!$A$2:$A$40,(Reitingai!$C$2-1))-2500)))-MIN((SUMIFS(Rezultatai!$J$2:$J$500,Rezultatai!$B$2:$B$500,$K49,Rezultatai!$A$2:$A$500,((Reitingai!$C$2-1)-2),Rezultatai!$D$2:$D$500,"&lt;&gt;Papildomi (R+)")+MIN(SUMIFS(Rezultatai!$J$2:$J$500,Rezultatai!$B$2:$B$500,$K49,Rezultatai!$A$2:$A$500,((Reitingai!$C$2-1)-2),Rezultatai!$D$2:$D$500,"Papildomi (R+)"),0.15*(SUMIFS(Rezultatai!$J$2:$J$500,Rezultatai!$B$2:$B$500,$K49,Rezultatai!$A$2:$A$500,((Reitingai!$C$2-1)-2),Rezultatai!$D$2:$D$500,"&lt;&gt;Papildomi (R+)"))))*MIN(425,375+(1/70)*(SUMIFS(Parametrai!$B$2:$B$40,Parametrai!$A$2:$A$40,((Reitingai!$C$2-1)-2))-2500)),(SUMIFS(Rezultatai!$J$2:$J$500,Rezultatai!$B$2:$B$500,$K49,Rezultatai!$A$2:$A$500,((Reitingai!$C$2-1)-1),Rezultatai!$D$2:$D$500,"&lt;&gt;Papildomi (R+)")+MIN(SUMIFS(Rezultatai!$J$2:$J$500,Rezultatai!$B$2:$B$500,$K49,Rezultatai!$A$2:$A$500,((Reitingai!$C$2-1)-1),Rezultatai!$D$2:$D$500,"Papildomi (R+)"),0.15*(SUMIFS(Rezultatai!$J$2:$J$500,Rezultatai!$B$2:$B$500,$K49,Rezultatai!$A$2:$A$500,((Reitingai!$C$2-1)-1),Rezultatai!$D$2:$D$500,"&lt;&gt;Papildomi (R+)"))))*MIN(450,400+(1/70)*(SUMIFS(Parametrai!$B$2:$B$40,Parametrai!$A$2:$A$40,((Reitingai!$C$2-1)-1))-2500)),(SUMIFS(Rezultatai!$J$2:$J$500,Rezultatai!$B$2:$B$500,$K49,Rezultatai!$A$2:$A$500,(Reitingai!$C$2-1),Rezultatai!$D$2:$D$500,"&lt;&gt;Papildomi (R+)")+MIN(SUMIFS(Rezultatai!$J$2:$J$500,Rezultatai!$B$2:$B$500,$K49,Rezultatai!$A$2:$A$500,(Reitingai!$C$2-1),Rezultatai!$D$2:$D$500,"Papildomi (R+)"),0.15*(SUMIFS(Rezultatai!$J$2:$J$500,Rezultatai!$B$2:$B$500,$K49,Rezultatai!$A$2:$A$500,(Reitingai!$C$2-1),Rezultatai!$D$2:$D$500,"&lt;&gt;Papildomi (R+)"))))*MIN(550,450+(1/35)*(SUMIFS(Parametrai!$B$2:$B$40,Parametrai!$A$2:$A$40,(Reitingai!$C$2-1))-2500))))</f>
        <v>0</v>
      </c>
      <c r="O49" s="17">
        <f t="shared" si="18"/>
        <v>23</v>
      </c>
      <c r="P49" s="17">
        <f t="shared" si="19"/>
        <v>30</v>
      </c>
      <c r="Q49" s="17">
        <f>IF($K49="","",$O49+COUNTIF($O$6:$O49,$O49)-1)</f>
        <v>44</v>
      </c>
    </row>
    <row r="50" spans="1:17" ht="15" customHeight="1" x14ac:dyDescent="0.3">
      <c r="A50" s="13">
        <f>IFERROR(MATCH(45,$Q$6:$Q$105,0),"")</f>
        <v>45</v>
      </c>
      <c r="B50" s="13" t="str">
        <f t="shared" si="10"/>
        <v>Laurynas Šupinys</v>
      </c>
      <c r="C50" s="13" t="str">
        <f t="shared" si="11"/>
        <v>Kauno AASK</v>
      </c>
      <c r="D50" s="13">
        <f t="shared" si="12"/>
        <v>23</v>
      </c>
      <c r="E50" s="16">
        <f t="shared" si="13"/>
        <v>30</v>
      </c>
      <c r="F50" s="30">
        <f t="shared" si="14"/>
        <v>7</v>
      </c>
      <c r="G50" s="14">
        <f t="shared" si="15"/>
        <v>0</v>
      </c>
      <c r="H50" s="14">
        <f t="shared" si="16"/>
        <v>0</v>
      </c>
      <c r="I50" s="31">
        <f t="shared" si="17"/>
        <v>0</v>
      </c>
      <c r="K50" s="17" t="str">
        <f>IF(Pilotai!B46="","",Pilotai!B46)</f>
        <v>Laurynas Šupinys</v>
      </c>
      <c r="L50" s="17" t="str">
        <f>IF($K50="","",Pilotai!C46)</f>
        <v>Kauno AASK</v>
      </c>
      <c r="M50" s="18">
        <f>IF($K50="","",IFERROR(INDEX(Reitingai!$G$6:$G$105,MATCH($K50,Reitingai!$B$6:$B$105,0)),0))</f>
        <v>0</v>
      </c>
      <c r="N50" s="18">
        <f>IF($K50="","",SUM((SUMIFS(Rezultatai!$J$2:$J$500,Rezultatai!$B$2:$B$500,$K50,Rezultatai!$A$2:$A$500,((Reitingai!$C$2-1)-2),Rezultatai!$D$2:$D$500,"&lt;&gt;Papildomi (R+)")+MIN(SUMIFS(Rezultatai!$J$2:$J$500,Rezultatai!$B$2:$B$500,$K50,Rezultatai!$A$2:$A$500,((Reitingai!$C$2-1)-2),Rezultatai!$D$2:$D$500,"Papildomi (R+)"),0.15*(SUMIFS(Rezultatai!$J$2:$J$500,Rezultatai!$B$2:$B$500,$K50,Rezultatai!$A$2:$A$500,((Reitingai!$C$2-1)-2),Rezultatai!$D$2:$D$500,"&lt;&gt;Papildomi (R+)"))))*MIN(425,375+(1/70)*(SUMIFS(Parametrai!$B$2:$B$40,Parametrai!$A$2:$A$40,((Reitingai!$C$2-1)-2))-2500)),(SUMIFS(Rezultatai!$J$2:$J$500,Rezultatai!$B$2:$B$500,$K50,Rezultatai!$A$2:$A$500,((Reitingai!$C$2-1)-1),Rezultatai!$D$2:$D$500,"&lt;&gt;Papildomi (R+)")+MIN(SUMIFS(Rezultatai!$J$2:$J$500,Rezultatai!$B$2:$B$500,$K50,Rezultatai!$A$2:$A$500,((Reitingai!$C$2-1)-1),Rezultatai!$D$2:$D$500,"Papildomi (R+)"),0.15*(SUMIFS(Rezultatai!$J$2:$J$500,Rezultatai!$B$2:$B$500,$K50,Rezultatai!$A$2:$A$500,((Reitingai!$C$2-1)-1),Rezultatai!$D$2:$D$500,"&lt;&gt;Papildomi (R+)"))))*MIN(450,400+(1/70)*(SUMIFS(Parametrai!$B$2:$B$40,Parametrai!$A$2:$A$40,((Reitingai!$C$2-1)-1))-2500)),(SUMIFS(Rezultatai!$J$2:$J$500,Rezultatai!$B$2:$B$500,$K50,Rezultatai!$A$2:$A$500,(Reitingai!$C$2-1),Rezultatai!$D$2:$D$500,"&lt;&gt;Papildomi (R+)")+MIN(SUMIFS(Rezultatai!$J$2:$J$500,Rezultatai!$B$2:$B$500,$K50,Rezultatai!$A$2:$A$500,(Reitingai!$C$2-1),Rezultatai!$D$2:$D$500,"Papildomi (R+)"),0.15*(SUMIFS(Rezultatai!$J$2:$J$500,Rezultatai!$B$2:$B$500,$K50,Rezultatai!$A$2:$A$500,(Reitingai!$C$2-1),Rezultatai!$D$2:$D$500,"&lt;&gt;Papildomi (R+)"))))*MIN(550,450+(1/35)*(SUMIFS(Parametrai!$B$2:$B$40,Parametrai!$A$2:$A$40,(Reitingai!$C$2-1))-2500)))-MIN((SUMIFS(Rezultatai!$J$2:$J$500,Rezultatai!$B$2:$B$500,$K50,Rezultatai!$A$2:$A$500,((Reitingai!$C$2-1)-2),Rezultatai!$D$2:$D$500,"&lt;&gt;Papildomi (R+)")+MIN(SUMIFS(Rezultatai!$J$2:$J$500,Rezultatai!$B$2:$B$500,$K50,Rezultatai!$A$2:$A$500,((Reitingai!$C$2-1)-2),Rezultatai!$D$2:$D$500,"Papildomi (R+)"),0.15*(SUMIFS(Rezultatai!$J$2:$J$500,Rezultatai!$B$2:$B$500,$K50,Rezultatai!$A$2:$A$500,((Reitingai!$C$2-1)-2),Rezultatai!$D$2:$D$500,"&lt;&gt;Papildomi (R+)"))))*MIN(425,375+(1/70)*(SUMIFS(Parametrai!$B$2:$B$40,Parametrai!$A$2:$A$40,((Reitingai!$C$2-1)-2))-2500)),(SUMIFS(Rezultatai!$J$2:$J$500,Rezultatai!$B$2:$B$500,$K50,Rezultatai!$A$2:$A$500,((Reitingai!$C$2-1)-1),Rezultatai!$D$2:$D$500,"&lt;&gt;Papildomi (R+)")+MIN(SUMIFS(Rezultatai!$J$2:$J$500,Rezultatai!$B$2:$B$500,$K50,Rezultatai!$A$2:$A$500,((Reitingai!$C$2-1)-1),Rezultatai!$D$2:$D$500,"Papildomi (R+)"),0.15*(SUMIFS(Rezultatai!$J$2:$J$500,Rezultatai!$B$2:$B$500,$K50,Rezultatai!$A$2:$A$500,((Reitingai!$C$2-1)-1),Rezultatai!$D$2:$D$500,"&lt;&gt;Papildomi (R+)"))))*MIN(450,400+(1/70)*(SUMIFS(Parametrai!$B$2:$B$40,Parametrai!$A$2:$A$40,((Reitingai!$C$2-1)-1))-2500)),(SUMIFS(Rezultatai!$J$2:$J$500,Rezultatai!$B$2:$B$500,$K50,Rezultatai!$A$2:$A$500,(Reitingai!$C$2-1),Rezultatai!$D$2:$D$500,"&lt;&gt;Papildomi (R+)")+MIN(SUMIFS(Rezultatai!$J$2:$J$500,Rezultatai!$B$2:$B$500,$K50,Rezultatai!$A$2:$A$500,(Reitingai!$C$2-1),Rezultatai!$D$2:$D$500,"Papildomi (R+)"),0.15*(SUMIFS(Rezultatai!$J$2:$J$500,Rezultatai!$B$2:$B$500,$K50,Rezultatai!$A$2:$A$500,(Reitingai!$C$2-1),Rezultatai!$D$2:$D$500,"&lt;&gt;Papildomi (R+)"))))*MIN(550,450+(1/35)*(SUMIFS(Parametrai!$B$2:$B$40,Parametrai!$A$2:$A$40,(Reitingai!$C$2-1))-2500))))</f>
        <v>0</v>
      </c>
      <c r="O50" s="17">
        <f t="shared" si="18"/>
        <v>23</v>
      </c>
      <c r="P50" s="17">
        <f t="shared" si="19"/>
        <v>30</v>
      </c>
      <c r="Q50" s="17">
        <f>IF($K50="","",$O50+COUNTIF($O$6:$O50,$O50)-1)</f>
        <v>45</v>
      </c>
    </row>
    <row r="51" spans="1:17" ht="15" customHeight="1" x14ac:dyDescent="0.3">
      <c r="A51" s="13">
        <f>IFERROR(MATCH(46,$Q$6:$Q$105,0),"")</f>
        <v>46</v>
      </c>
      <c r="B51" s="13" t="str">
        <f t="shared" si="10"/>
        <v>Igor Volkov</v>
      </c>
      <c r="C51" s="13" t="str">
        <f t="shared" si="11"/>
        <v>Vilniaus Aeroklubas</v>
      </c>
      <c r="D51" s="13">
        <f t="shared" si="12"/>
        <v>23</v>
      </c>
      <c r="E51" s="16">
        <f t="shared" si="13"/>
        <v>30</v>
      </c>
      <c r="F51" s="30">
        <f t="shared" si="14"/>
        <v>7</v>
      </c>
      <c r="G51" s="14">
        <f t="shared" si="15"/>
        <v>0</v>
      </c>
      <c r="H51" s="14">
        <f t="shared" si="16"/>
        <v>0</v>
      </c>
      <c r="I51" s="31">
        <f t="shared" si="17"/>
        <v>0</v>
      </c>
      <c r="K51" s="17" t="str">
        <f>IF(Pilotai!B47="","",Pilotai!B47)</f>
        <v>Igor Volkov</v>
      </c>
      <c r="L51" s="17" t="str">
        <f>IF($K51="","",Pilotai!C47)</f>
        <v>Vilniaus Aeroklubas</v>
      </c>
      <c r="M51" s="18">
        <f>IF($K51="","",IFERROR(INDEX(Reitingai!$G$6:$G$105,MATCH($K51,Reitingai!$B$6:$B$105,0)),0))</f>
        <v>0</v>
      </c>
      <c r="N51" s="18">
        <f>IF($K51="","",SUM((SUMIFS(Rezultatai!$J$2:$J$500,Rezultatai!$B$2:$B$500,$K51,Rezultatai!$A$2:$A$500,((Reitingai!$C$2-1)-2),Rezultatai!$D$2:$D$500,"&lt;&gt;Papildomi (R+)")+MIN(SUMIFS(Rezultatai!$J$2:$J$500,Rezultatai!$B$2:$B$500,$K51,Rezultatai!$A$2:$A$500,((Reitingai!$C$2-1)-2),Rezultatai!$D$2:$D$500,"Papildomi (R+)"),0.15*(SUMIFS(Rezultatai!$J$2:$J$500,Rezultatai!$B$2:$B$500,$K51,Rezultatai!$A$2:$A$500,((Reitingai!$C$2-1)-2),Rezultatai!$D$2:$D$500,"&lt;&gt;Papildomi (R+)"))))*MIN(425,375+(1/70)*(SUMIFS(Parametrai!$B$2:$B$40,Parametrai!$A$2:$A$40,((Reitingai!$C$2-1)-2))-2500)),(SUMIFS(Rezultatai!$J$2:$J$500,Rezultatai!$B$2:$B$500,$K51,Rezultatai!$A$2:$A$500,((Reitingai!$C$2-1)-1),Rezultatai!$D$2:$D$500,"&lt;&gt;Papildomi (R+)")+MIN(SUMIFS(Rezultatai!$J$2:$J$500,Rezultatai!$B$2:$B$500,$K51,Rezultatai!$A$2:$A$500,((Reitingai!$C$2-1)-1),Rezultatai!$D$2:$D$500,"Papildomi (R+)"),0.15*(SUMIFS(Rezultatai!$J$2:$J$500,Rezultatai!$B$2:$B$500,$K51,Rezultatai!$A$2:$A$500,((Reitingai!$C$2-1)-1),Rezultatai!$D$2:$D$500,"&lt;&gt;Papildomi (R+)"))))*MIN(450,400+(1/70)*(SUMIFS(Parametrai!$B$2:$B$40,Parametrai!$A$2:$A$40,((Reitingai!$C$2-1)-1))-2500)),(SUMIFS(Rezultatai!$J$2:$J$500,Rezultatai!$B$2:$B$500,$K51,Rezultatai!$A$2:$A$500,(Reitingai!$C$2-1),Rezultatai!$D$2:$D$500,"&lt;&gt;Papildomi (R+)")+MIN(SUMIFS(Rezultatai!$J$2:$J$500,Rezultatai!$B$2:$B$500,$K51,Rezultatai!$A$2:$A$500,(Reitingai!$C$2-1),Rezultatai!$D$2:$D$500,"Papildomi (R+)"),0.15*(SUMIFS(Rezultatai!$J$2:$J$500,Rezultatai!$B$2:$B$500,$K51,Rezultatai!$A$2:$A$500,(Reitingai!$C$2-1),Rezultatai!$D$2:$D$500,"&lt;&gt;Papildomi (R+)"))))*MIN(550,450+(1/35)*(SUMIFS(Parametrai!$B$2:$B$40,Parametrai!$A$2:$A$40,(Reitingai!$C$2-1))-2500)))-MIN((SUMIFS(Rezultatai!$J$2:$J$500,Rezultatai!$B$2:$B$500,$K51,Rezultatai!$A$2:$A$500,((Reitingai!$C$2-1)-2),Rezultatai!$D$2:$D$500,"&lt;&gt;Papildomi (R+)")+MIN(SUMIFS(Rezultatai!$J$2:$J$500,Rezultatai!$B$2:$B$500,$K51,Rezultatai!$A$2:$A$500,((Reitingai!$C$2-1)-2),Rezultatai!$D$2:$D$500,"Papildomi (R+)"),0.15*(SUMIFS(Rezultatai!$J$2:$J$500,Rezultatai!$B$2:$B$500,$K51,Rezultatai!$A$2:$A$500,((Reitingai!$C$2-1)-2),Rezultatai!$D$2:$D$500,"&lt;&gt;Papildomi (R+)"))))*MIN(425,375+(1/70)*(SUMIFS(Parametrai!$B$2:$B$40,Parametrai!$A$2:$A$40,((Reitingai!$C$2-1)-2))-2500)),(SUMIFS(Rezultatai!$J$2:$J$500,Rezultatai!$B$2:$B$500,$K51,Rezultatai!$A$2:$A$500,((Reitingai!$C$2-1)-1),Rezultatai!$D$2:$D$500,"&lt;&gt;Papildomi (R+)")+MIN(SUMIFS(Rezultatai!$J$2:$J$500,Rezultatai!$B$2:$B$500,$K51,Rezultatai!$A$2:$A$500,((Reitingai!$C$2-1)-1),Rezultatai!$D$2:$D$500,"Papildomi (R+)"),0.15*(SUMIFS(Rezultatai!$J$2:$J$500,Rezultatai!$B$2:$B$500,$K51,Rezultatai!$A$2:$A$500,((Reitingai!$C$2-1)-1),Rezultatai!$D$2:$D$500,"&lt;&gt;Papildomi (R+)"))))*MIN(450,400+(1/70)*(SUMIFS(Parametrai!$B$2:$B$40,Parametrai!$A$2:$A$40,((Reitingai!$C$2-1)-1))-2500)),(SUMIFS(Rezultatai!$J$2:$J$500,Rezultatai!$B$2:$B$500,$K51,Rezultatai!$A$2:$A$500,(Reitingai!$C$2-1),Rezultatai!$D$2:$D$500,"&lt;&gt;Papildomi (R+)")+MIN(SUMIFS(Rezultatai!$J$2:$J$500,Rezultatai!$B$2:$B$500,$K51,Rezultatai!$A$2:$A$500,(Reitingai!$C$2-1),Rezultatai!$D$2:$D$500,"Papildomi (R+)"),0.15*(SUMIFS(Rezultatai!$J$2:$J$500,Rezultatai!$B$2:$B$500,$K51,Rezultatai!$A$2:$A$500,(Reitingai!$C$2-1),Rezultatai!$D$2:$D$500,"&lt;&gt;Papildomi (R+)"))))*MIN(550,450+(1/35)*(SUMIFS(Parametrai!$B$2:$B$40,Parametrai!$A$2:$A$40,(Reitingai!$C$2-1))-2500))))</f>
        <v>0</v>
      </c>
      <c r="O51" s="17">
        <f t="shared" si="18"/>
        <v>23</v>
      </c>
      <c r="P51" s="17">
        <f t="shared" si="19"/>
        <v>30</v>
      </c>
      <c r="Q51" s="17">
        <f>IF($K51="","",$O51+COUNTIF($O$6:$O51,$O51)-1)</f>
        <v>46</v>
      </c>
    </row>
    <row r="52" spans="1:17" ht="15" customHeight="1" x14ac:dyDescent="0.3">
      <c r="A52" s="13">
        <f>IFERROR(MATCH(47,$Q$6:$Q$105,0),"")</f>
        <v>47</v>
      </c>
      <c r="B52" s="13" t="str">
        <f t="shared" si="10"/>
        <v>Algimantas Jonušas</v>
      </c>
      <c r="C52" s="13" t="str">
        <f t="shared" si="11"/>
        <v>Kauno AASK</v>
      </c>
      <c r="D52" s="13">
        <f t="shared" si="12"/>
        <v>23</v>
      </c>
      <c r="E52" s="16">
        <f t="shared" si="13"/>
        <v>30</v>
      </c>
      <c r="F52" s="30">
        <f t="shared" si="14"/>
        <v>7</v>
      </c>
      <c r="G52" s="14">
        <f t="shared" si="15"/>
        <v>0</v>
      </c>
      <c r="H52" s="14">
        <f t="shared" si="16"/>
        <v>0</v>
      </c>
      <c r="I52" s="31">
        <f t="shared" si="17"/>
        <v>0</v>
      </c>
      <c r="K52" s="17" t="str">
        <f>IF(Pilotai!B48="","",Pilotai!B48)</f>
        <v>Algimantas Jonušas</v>
      </c>
      <c r="L52" s="17" t="str">
        <f>IF($K52="","",Pilotai!C48)</f>
        <v>Kauno AASK</v>
      </c>
      <c r="M52" s="18">
        <f>IF($K52="","",IFERROR(INDEX(Reitingai!$G$6:$G$105,MATCH($K52,Reitingai!$B$6:$B$105,0)),0))</f>
        <v>0</v>
      </c>
      <c r="N52" s="18">
        <f>IF($K52="","",SUM((SUMIFS(Rezultatai!$J$2:$J$500,Rezultatai!$B$2:$B$500,$K52,Rezultatai!$A$2:$A$500,((Reitingai!$C$2-1)-2),Rezultatai!$D$2:$D$500,"&lt;&gt;Papildomi (R+)")+MIN(SUMIFS(Rezultatai!$J$2:$J$500,Rezultatai!$B$2:$B$500,$K52,Rezultatai!$A$2:$A$500,((Reitingai!$C$2-1)-2),Rezultatai!$D$2:$D$500,"Papildomi (R+)"),0.15*(SUMIFS(Rezultatai!$J$2:$J$500,Rezultatai!$B$2:$B$500,$K52,Rezultatai!$A$2:$A$500,((Reitingai!$C$2-1)-2),Rezultatai!$D$2:$D$500,"&lt;&gt;Papildomi (R+)"))))*MIN(425,375+(1/70)*(SUMIFS(Parametrai!$B$2:$B$40,Parametrai!$A$2:$A$40,((Reitingai!$C$2-1)-2))-2500)),(SUMIFS(Rezultatai!$J$2:$J$500,Rezultatai!$B$2:$B$500,$K52,Rezultatai!$A$2:$A$500,((Reitingai!$C$2-1)-1),Rezultatai!$D$2:$D$500,"&lt;&gt;Papildomi (R+)")+MIN(SUMIFS(Rezultatai!$J$2:$J$500,Rezultatai!$B$2:$B$500,$K52,Rezultatai!$A$2:$A$500,((Reitingai!$C$2-1)-1),Rezultatai!$D$2:$D$500,"Papildomi (R+)"),0.15*(SUMIFS(Rezultatai!$J$2:$J$500,Rezultatai!$B$2:$B$500,$K52,Rezultatai!$A$2:$A$500,((Reitingai!$C$2-1)-1),Rezultatai!$D$2:$D$500,"&lt;&gt;Papildomi (R+)"))))*MIN(450,400+(1/70)*(SUMIFS(Parametrai!$B$2:$B$40,Parametrai!$A$2:$A$40,((Reitingai!$C$2-1)-1))-2500)),(SUMIFS(Rezultatai!$J$2:$J$500,Rezultatai!$B$2:$B$500,$K52,Rezultatai!$A$2:$A$500,(Reitingai!$C$2-1),Rezultatai!$D$2:$D$500,"&lt;&gt;Papildomi (R+)")+MIN(SUMIFS(Rezultatai!$J$2:$J$500,Rezultatai!$B$2:$B$500,$K52,Rezultatai!$A$2:$A$500,(Reitingai!$C$2-1),Rezultatai!$D$2:$D$500,"Papildomi (R+)"),0.15*(SUMIFS(Rezultatai!$J$2:$J$500,Rezultatai!$B$2:$B$500,$K52,Rezultatai!$A$2:$A$500,(Reitingai!$C$2-1),Rezultatai!$D$2:$D$500,"&lt;&gt;Papildomi (R+)"))))*MIN(550,450+(1/35)*(SUMIFS(Parametrai!$B$2:$B$40,Parametrai!$A$2:$A$40,(Reitingai!$C$2-1))-2500)))-MIN((SUMIFS(Rezultatai!$J$2:$J$500,Rezultatai!$B$2:$B$500,$K52,Rezultatai!$A$2:$A$500,((Reitingai!$C$2-1)-2),Rezultatai!$D$2:$D$500,"&lt;&gt;Papildomi (R+)")+MIN(SUMIFS(Rezultatai!$J$2:$J$500,Rezultatai!$B$2:$B$500,$K52,Rezultatai!$A$2:$A$500,((Reitingai!$C$2-1)-2),Rezultatai!$D$2:$D$500,"Papildomi (R+)"),0.15*(SUMIFS(Rezultatai!$J$2:$J$500,Rezultatai!$B$2:$B$500,$K52,Rezultatai!$A$2:$A$500,((Reitingai!$C$2-1)-2),Rezultatai!$D$2:$D$500,"&lt;&gt;Papildomi (R+)"))))*MIN(425,375+(1/70)*(SUMIFS(Parametrai!$B$2:$B$40,Parametrai!$A$2:$A$40,((Reitingai!$C$2-1)-2))-2500)),(SUMIFS(Rezultatai!$J$2:$J$500,Rezultatai!$B$2:$B$500,$K52,Rezultatai!$A$2:$A$500,((Reitingai!$C$2-1)-1),Rezultatai!$D$2:$D$500,"&lt;&gt;Papildomi (R+)")+MIN(SUMIFS(Rezultatai!$J$2:$J$500,Rezultatai!$B$2:$B$500,$K52,Rezultatai!$A$2:$A$500,((Reitingai!$C$2-1)-1),Rezultatai!$D$2:$D$500,"Papildomi (R+)"),0.15*(SUMIFS(Rezultatai!$J$2:$J$500,Rezultatai!$B$2:$B$500,$K52,Rezultatai!$A$2:$A$500,((Reitingai!$C$2-1)-1),Rezultatai!$D$2:$D$500,"&lt;&gt;Papildomi (R+)"))))*MIN(450,400+(1/70)*(SUMIFS(Parametrai!$B$2:$B$40,Parametrai!$A$2:$A$40,((Reitingai!$C$2-1)-1))-2500)),(SUMIFS(Rezultatai!$J$2:$J$500,Rezultatai!$B$2:$B$500,$K52,Rezultatai!$A$2:$A$500,(Reitingai!$C$2-1),Rezultatai!$D$2:$D$500,"&lt;&gt;Papildomi (R+)")+MIN(SUMIFS(Rezultatai!$J$2:$J$500,Rezultatai!$B$2:$B$500,$K52,Rezultatai!$A$2:$A$500,(Reitingai!$C$2-1),Rezultatai!$D$2:$D$500,"Papildomi (R+)"),0.15*(SUMIFS(Rezultatai!$J$2:$J$500,Rezultatai!$B$2:$B$500,$K52,Rezultatai!$A$2:$A$500,(Reitingai!$C$2-1),Rezultatai!$D$2:$D$500,"&lt;&gt;Papildomi (R+)"))))*MIN(550,450+(1/35)*(SUMIFS(Parametrai!$B$2:$B$40,Parametrai!$A$2:$A$40,(Reitingai!$C$2-1))-2500))))</f>
        <v>0</v>
      </c>
      <c r="O52" s="17">
        <f t="shared" si="18"/>
        <v>23</v>
      </c>
      <c r="P52" s="17">
        <f t="shared" si="19"/>
        <v>30</v>
      </c>
      <c r="Q52" s="17">
        <f>IF($K52="","",$O52+COUNTIF($O$6:$O52,$O52)-1)</f>
        <v>47</v>
      </c>
    </row>
    <row r="53" spans="1:17" ht="15" customHeight="1" x14ac:dyDescent="0.3">
      <c r="A53" s="13">
        <f>IFERROR(MATCH(48,$Q$6:$Q$105,0),"")</f>
        <v>48</v>
      </c>
      <c r="B53" s="13" t="str">
        <f t="shared" si="10"/>
        <v>Algimantas Miklasevicius</v>
      </c>
      <c r="C53" s="13" t="str">
        <f t="shared" si="11"/>
        <v>Vilniaus Aeroklubas</v>
      </c>
      <c r="D53" s="13">
        <f t="shared" si="12"/>
        <v>23</v>
      </c>
      <c r="E53" s="16">
        <f t="shared" si="13"/>
        <v>30</v>
      </c>
      <c r="F53" s="30">
        <f t="shared" si="14"/>
        <v>7</v>
      </c>
      <c r="G53" s="14">
        <f t="shared" si="15"/>
        <v>0</v>
      </c>
      <c r="H53" s="14">
        <f t="shared" si="16"/>
        <v>0</v>
      </c>
      <c r="I53" s="31">
        <f t="shared" si="17"/>
        <v>0</v>
      </c>
      <c r="K53" s="17" t="str">
        <f>IF(Pilotai!B49="","",Pilotai!B49)</f>
        <v>Algimantas Miklasevicius</v>
      </c>
      <c r="L53" s="17" t="str">
        <f>IF($K53="","",Pilotai!C49)</f>
        <v>Vilniaus Aeroklubas</v>
      </c>
      <c r="M53" s="18">
        <f>IF($K53="","",IFERROR(INDEX(Reitingai!$G$6:$G$105,MATCH($K53,Reitingai!$B$6:$B$105,0)),0))</f>
        <v>0</v>
      </c>
      <c r="N53" s="18">
        <f>IF($K53="","",SUM((SUMIFS(Rezultatai!$J$2:$J$500,Rezultatai!$B$2:$B$500,$K53,Rezultatai!$A$2:$A$500,((Reitingai!$C$2-1)-2),Rezultatai!$D$2:$D$500,"&lt;&gt;Papildomi (R+)")+MIN(SUMIFS(Rezultatai!$J$2:$J$500,Rezultatai!$B$2:$B$500,$K53,Rezultatai!$A$2:$A$500,((Reitingai!$C$2-1)-2),Rezultatai!$D$2:$D$500,"Papildomi (R+)"),0.15*(SUMIFS(Rezultatai!$J$2:$J$500,Rezultatai!$B$2:$B$500,$K53,Rezultatai!$A$2:$A$500,((Reitingai!$C$2-1)-2),Rezultatai!$D$2:$D$500,"&lt;&gt;Papildomi (R+)"))))*MIN(425,375+(1/70)*(SUMIFS(Parametrai!$B$2:$B$40,Parametrai!$A$2:$A$40,((Reitingai!$C$2-1)-2))-2500)),(SUMIFS(Rezultatai!$J$2:$J$500,Rezultatai!$B$2:$B$500,$K53,Rezultatai!$A$2:$A$500,((Reitingai!$C$2-1)-1),Rezultatai!$D$2:$D$500,"&lt;&gt;Papildomi (R+)")+MIN(SUMIFS(Rezultatai!$J$2:$J$500,Rezultatai!$B$2:$B$500,$K53,Rezultatai!$A$2:$A$500,((Reitingai!$C$2-1)-1),Rezultatai!$D$2:$D$500,"Papildomi (R+)"),0.15*(SUMIFS(Rezultatai!$J$2:$J$500,Rezultatai!$B$2:$B$500,$K53,Rezultatai!$A$2:$A$500,((Reitingai!$C$2-1)-1),Rezultatai!$D$2:$D$500,"&lt;&gt;Papildomi (R+)"))))*MIN(450,400+(1/70)*(SUMIFS(Parametrai!$B$2:$B$40,Parametrai!$A$2:$A$40,((Reitingai!$C$2-1)-1))-2500)),(SUMIFS(Rezultatai!$J$2:$J$500,Rezultatai!$B$2:$B$500,$K53,Rezultatai!$A$2:$A$500,(Reitingai!$C$2-1),Rezultatai!$D$2:$D$500,"&lt;&gt;Papildomi (R+)")+MIN(SUMIFS(Rezultatai!$J$2:$J$500,Rezultatai!$B$2:$B$500,$K53,Rezultatai!$A$2:$A$500,(Reitingai!$C$2-1),Rezultatai!$D$2:$D$500,"Papildomi (R+)"),0.15*(SUMIFS(Rezultatai!$J$2:$J$500,Rezultatai!$B$2:$B$500,$K53,Rezultatai!$A$2:$A$500,(Reitingai!$C$2-1),Rezultatai!$D$2:$D$500,"&lt;&gt;Papildomi (R+)"))))*MIN(550,450+(1/35)*(SUMIFS(Parametrai!$B$2:$B$40,Parametrai!$A$2:$A$40,(Reitingai!$C$2-1))-2500)))-MIN((SUMIFS(Rezultatai!$J$2:$J$500,Rezultatai!$B$2:$B$500,$K53,Rezultatai!$A$2:$A$500,((Reitingai!$C$2-1)-2),Rezultatai!$D$2:$D$500,"&lt;&gt;Papildomi (R+)")+MIN(SUMIFS(Rezultatai!$J$2:$J$500,Rezultatai!$B$2:$B$500,$K53,Rezultatai!$A$2:$A$500,((Reitingai!$C$2-1)-2),Rezultatai!$D$2:$D$500,"Papildomi (R+)"),0.15*(SUMIFS(Rezultatai!$J$2:$J$500,Rezultatai!$B$2:$B$500,$K53,Rezultatai!$A$2:$A$500,((Reitingai!$C$2-1)-2),Rezultatai!$D$2:$D$500,"&lt;&gt;Papildomi (R+)"))))*MIN(425,375+(1/70)*(SUMIFS(Parametrai!$B$2:$B$40,Parametrai!$A$2:$A$40,((Reitingai!$C$2-1)-2))-2500)),(SUMIFS(Rezultatai!$J$2:$J$500,Rezultatai!$B$2:$B$500,$K53,Rezultatai!$A$2:$A$500,((Reitingai!$C$2-1)-1),Rezultatai!$D$2:$D$500,"&lt;&gt;Papildomi (R+)")+MIN(SUMIFS(Rezultatai!$J$2:$J$500,Rezultatai!$B$2:$B$500,$K53,Rezultatai!$A$2:$A$500,((Reitingai!$C$2-1)-1),Rezultatai!$D$2:$D$500,"Papildomi (R+)"),0.15*(SUMIFS(Rezultatai!$J$2:$J$500,Rezultatai!$B$2:$B$500,$K53,Rezultatai!$A$2:$A$500,((Reitingai!$C$2-1)-1),Rezultatai!$D$2:$D$500,"&lt;&gt;Papildomi (R+)"))))*MIN(450,400+(1/70)*(SUMIFS(Parametrai!$B$2:$B$40,Parametrai!$A$2:$A$40,((Reitingai!$C$2-1)-1))-2500)),(SUMIFS(Rezultatai!$J$2:$J$500,Rezultatai!$B$2:$B$500,$K53,Rezultatai!$A$2:$A$500,(Reitingai!$C$2-1),Rezultatai!$D$2:$D$500,"&lt;&gt;Papildomi (R+)")+MIN(SUMIFS(Rezultatai!$J$2:$J$500,Rezultatai!$B$2:$B$500,$K53,Rezultatai!$A$2:$A$500,(Reitingai!$C$2-1),Rezultatai!$D$2:$D$500,"Papildomi (R+)"),0.15*(SUMIFS(Rezultatai!$J$2:$J$500,Rezultatai!$B$2:$B$500,$K53,Rezultatai!$A$2:$A$500,(Reitingai!$C$2-1),Rezultatai!$D$2:$D$500,"&lt;&gt;Papildomi (R+)"))))*MIN(550,450+(1/35)*(SUMIFS(Parametrai!$B$2:$B$40,Parametrai!$A$2:$A$40,(Reitingai!$C$2-1))-2500))))</f>
        <v>0</v>
      </c>
      <c r="O53" s="17">
        <f t="shared" si="18"/>
        <v>23</v>
      </c>
      <c r="P53" s="17">
        <f t="shared" si="19"/>
        <v>30</v>
      </c>
      <c r="Q53" s="17">
        <f>IF($K53="","",$O53+COUNTIF($O$6:$O53,$O53)-1)</f>
        <v>48</v>
      </c>
    </row>
    <row r="54" spans="1:17" ht="15" customHeight="1" x14ac:dyDescent="0.3">
      <c r="A54" s="13">
        <f>IFERROR(MATCH(49,$Q$6:$Q$105,0),"")</f>
        <v>49</v>
      </c>
      <c r="B54" s="13" t="str">
        <f t="shared" si="10"/>
        <v>Andrej Lebedev</v>
      </c>
      <c r="C54" s="13" t="str">
        <f t="shared" si="11"/>
        <v>Vilniaus Aeroklubas</v>
      </c>
      <c r="D54" s="13">
        <f t="shared" si="12"/>
        <v>23</v>
      </c>
      <c r="E54" s="16">
        <f t="shared" si="13"/>
        <v>30</v>
      </c>
      <c r="F54" s="30">
        <f t="shared" si="14"/>
        <v>7</v>
      </c>
      <c r="G54" s="14">
        <f t="shared" si="15"/>
        <v>0</v>
      </c>
      <c r="H54" s="14">
        <f t="shared" si="16"/>
        <v>0</v>
      </c>
      <c r="I54" s="31">
        <f t="shared" si="17"/>
        <v>0</v>
      </c>
      <c r="K54" s="17" t="str">
        <f>IF(Pilotai!B50="","",Pilotai!B50)</f>
        <v>Andrej Lebedev</v>
      </c>
      <c r="L54" s="17" t="str">
        <f>IF($K54="","",Pilotai!C50)</f>
        <v>Vilniaus Aeroklubas</v>
      </c>
      <c r="M54" s="18">
        <f>IF($K54="","",IFERROR(INDEX(Reitingai!$G$6:$G$105,MATCH($K54,Reitingai!$B$6:$B$105,0)),0))</f>
        <v>0</v>
      </c>
      <c r="N54" s="18">
        <f>IF($K54="","",SUM((SUMIFS(Rezultatai!$J$2:$J$500,Rezultatai!$B$2:$B$500,$K54,Rezultatai!$A$2:$A$500,((Reitingai!$C$2-1)-2),Rezultatai!$D$2:$D$500,"&lt;&gt;Papildomi (R+)")+MIN(SUMIFS(Rezultatai!$J$2:$J$500,Rezultatai!$B$2:$B$500,$K54,Rezultatai!$A$2:$A$500,((Reitingai!$C$2-1)-2),Rezultatai!$D$2:$D$500,"Papildomi (R+)"),0.15*(SUMIFS(Rezultatai!$J$2:$J$500,Rezultatai!$B$2:$B$500,$K54,Rezultatai!$A$2:$A$500,((Reitingai!$C$2-1)-2),Rezultatai!$D$2:$D$500,"&lt;&gt;Papildomi (R+)"))))*MIN(425,375+(1/70)*(SUMIFS(Parametrai!$B$2:$B$40,Parametrai!$A$2:$A$40,((Reitingai!$C$2-1)-2))-2500)),(SUMIFS(Rezultatai!$J$2:$J$500,Rezultatai!$B$2:$B$500,$K54,Rezultatai!$A$2:$A$500,((Reitingai!$C$2-1)-1),Rezultatai!$D$2:$D$500,"&lt;&gt;Papildomi (R+)")+MIN(SUMIFS(Rezultatai!$J$2:$J$500,Rezultatai!$B$2:$B$500,$K54,Rezultatai!$A$2:$A$500,((Reitingai!$C$2-1)-1),Rezultatai!$D$2:$D$500,"Papildomi (R+)"),0.15*(SUMIFS(Rezultatai!$J$2:$J$500,Rezultatai!$B$2:$B$500,$K54,Rezultatai!$A$2:$A$500,((Reitingai!$C$2-1)-1),Rezultatai!$D$2:$D$500,"&lt;&gt;Papildomi (R+)"))))*MIN(450,400+(1/70)*(SUMIFS(Parametrai!$B$2:$B$40,Parametrai!$A$2:$A$40,((Reitingai!$C$2-1)-1))-2500)),(SUMIFS(Rezultatai!$J$2:$J$500,Rezultatai!$B$2:$B$500,$K54,Rezultatai!$A$2:$A$500,(Reitingai!$C$2-1),Rezultatai!$D$2:$D$500,"&lt;&gt;Papildomi (R+)")+MIN(SUMIFS(Rezultatai!$J$2:$J$500,Rezultatai!$B$2:$B$500,$K54,Rezultatai!$A$2:$A$500,(Reitingai!$C$2-1),Rezultatai!$D$2:$D$500,"Papildomi (R+)"),0.15*(SUMIFS(Rezultatai!$J$2:$J$500,Rezultatai!$B$2:$B$500,$K54,Rezultatai!$A$2:$A$500,(Reitingai!$C$2-1),Rezultatai!$D$2:$D$500,"&lt;&gt;Papildomi (R+)"))))*MIN(550,450+(1/35)*(SUMIFS(Parametrai!$B$2:$B$40,Parametrai!$A$2:$A$40,(Reitingai!$C$2-1))-2500)))-MIN((SUMIFS(Rezultatai!$J$2:$J$500,Rezultatai!$B$2:$B$500,$K54,Rezultatai!$A$2:$A$500,((Reitingai!$C$2-1)-2),Rezultatai!$D$2:$D$500,"&lt;&gt;Papildomi (R+)")+MIN(SUMIFS(Rezultatai!$J$2:$J$500,Rezultatai!$B$2:$B$500,$K54,Rezultatai!$A$2:$A$500,((Reitingai!$C$2-1)-2),Rezultatai!$D$2:$D$500,"Papildomi (R+)"),0.15*(SUMIFS(Rezultatai!$J$2:$J$500,Rezultatai!$B$2:$B$500,$K54,Rezultatai!$A$2:$A$500,((Reitingai!$C$2-1)-2),Rezultatai!$D$2:$D$500,"&lt;&gt;Papildomi (R+)"))))*MIN(425,375+(1/70)*(SUMIFS(Parametrai!$B$2:$B$40,Parametrai!$A$2:$A$40,((Reitingai!$C$2-1)-2))-2500)),(SUMIFS(Rezultatai!$J$2:$J$500,Rezultatai!$B$2:$B$500,$K54,Rezultatai!$A$2:$A$500,((Reitingai!$C$2-1)-1),Rezultatai!$D$2:$D$500,"&lt;&gt;Papildomi (R+)")+MIN(SUMIFS(Rezultatai!$J$2:$J$500,Rezultatai!$B$2:$B$500,$K54,Rezultatai!$A$2:$A$500,((Reitingai!$C$2-1)-1),Rezultatai!$D$2:$D$500,"Papildomi (R+)"),0.15*(SUMIFS(Rezultatai!$J$2:$J$500,Rezultatai!$B$2:$B$500,$K54,Rezultatai!$A$2:$A$500,((Reitingai!$C$2-1)-1),Rezultatai!$D$2:$D$500,"&lt;&gt;Papildomi (R+)"))))*MIN(450,400+(1/70)*(SUMIFS(Parametrai!$B$2:$B$40,Parametrai!$A$2:$A$40,((Reitingai!$C$2-1)-1))-2500)),(SUMIFS(Rezultatai!$J$2:$J$500,Rezultatai!$B$2:$B$500,$K54,Rezultatai!$A$2:$A$500,(Reitingai!$C$2-1),Rezultatai!$D$2:$D$500,"&lt;&gt;Papildomi (R+)")+MIN(SUMIFS(Rezultatai!$J$2:$J$500,Rezultatai!$B$2:$B$500,$K54,Rezultatai!$A$2:$A$500,(Reitingai!$C$2-1),Rezultatai!$D$2:$D$500,"Papildomi (R+)"),0.15*(SUMIFS(Rezultatai!$J$2:$J$500,Rezultatai!$B$2:$B$500,$K54,Rezultatai!$A$2:$A$500,(Reitingai!$C$2-1),Rezultatai!$D$2:$D$500,"&lt;&gt;Papildomi (R+)"))))*MIN(550,450+(1/35)*(SUMIFS(Parametrai!$B$2:$B$40,Parametrai!$A$2:$A$40,(Reitingai!$C$2-1))-2500))))</f>
        <v>0</v>
      </c>
      <c r="O54" s="17">
        <f t="shared" si="18"/>
        <v>23</v>
      </c>
      <c r="P54" s="17">
        <f t="shared" si="19"/>
        <v>30</v>
      </c>
      <c r="Q54" s="17">
        <f>IF($K54="","",$O54+COUNTIF($O$6:$O54,$O54)-1)</f>
        <v>49</v>
      </c>
    </row>
    <row r="55" spans="1:17" ht="15" customHeight="1" x14ac:dyDescent="0.3">
      <c r="A55" s="13">
        <f>IFERROR(MATCH(50,$Q$6:$Q$105,0),"")</f>
        <v>50</v>
      </c>
      <c r="B55" s="13" t="str">
        <f t="shared" si="10"/>
        <v>Andrius Masiulis</v>
      </c>
      <c r="C55" s="13" t="str">
        <f t="shared" si="11"/>
        <v>Vilniaus Aeroklubas</v>
      </c>
      <c r="D55" s="13">
        <f t="shared" si="12"/>
        <v>23</v>
      </c>
      <c r="E55" s="16">
        <f t="shared" si="13"/>
        <v>30</v>
      </c>
      <c r="F55" s="30">
        <f t="shared" si="14"/>
        <v>7</v>
      </c>
      <c r="G55" s="14">
        <f t="shared" si="15"/>
        <v>0</v>
      </c>
      <c r="H55" s="14">
        <f t="shared" si="16"/>
        <v>0</v>
      </c>
      <c r="I55" s="31">
        <f t="shared" si="17"/>
        <v>0</v>
      </c>
      <c r="K55" s="17" t="str">
        <f>IF(Pilotai!B51="","",Pilotai!B51)</f>
        <v>Andrius Masiulis</v>
      </c>
      <c r="L55" s="17" t="str">
        <f>IF($K55="","",Pilotai!C51)</f>
        <v>Vilniaus Aeroklubas</v>
      </c>
      <c r="M55" s="18">
        <f>IF($K55="","",IFERROR(INDEX(Reitingai!$G$6:$G$105,MATCH($K55,Reitingai!$B$6:$B$105,0)),0))</f>
        <v>0</v>
      </c>
      <c r="N55" s="18">
        <f>IF($K55="","",SUM((SUMIFS(Rezultatai!$J$2:$J$500,Rezultatai!$B$2:$B$500,$K55,Rezultatai!$A$2:$A$500,((Reitingai!$C$2-1)-2),Rezultatai!$D$2:$D$500,"&lt;&gt;Papildomi (R+)")+MIN(SUMIFS(Rezultatai!$J$2:$J$500,Rezultatai!$B$2:$B$500,$K55,Rezultatai!$A$2:$A$500,((Reitingai!$C$2-1)-2),Rezultatai!$D$2:$D$500,"Papildomi (R+)"),0.15*(SUMIFS(Rezultatai!$J$2:$J$500,Rezultatai!$B$2:$B$500,$K55,Rezultatai!$A$2:$A$500,((Reitingai!$C$2-1)-2),Rezultatai!$D$2:$D$500,"&lt;&gt;Papildomi (R+)"))))*MIN(425,375+(1/70)*(SUMIFS(Parametrai!$B$2:$B$40,Parametrai!$A$2:$A$40,((Reitingai!$C$2-1)-2))-2500)),(SUMIFS(Rezultatai!$J$2:$J$500,Rezultatai!$B$2:$B$500,$K55,Rezultatai!$A$2:$A$500,((Reitingai!$C$2-1)-1),Rezultatai!$D$2:$D$500,"&lt;&gt;Papildomi (R+)")+MIN(SUMIFS(Rezultatai!$J$2:$J$500,Rezultatai!$B$2:$B$500,$K55,Rezultatai!$A$2:$A$500,((Reitingai!$C$2-1)-1),Rezultatai!$D$2:$D$500,"Papildomi (R+)"),0.15*(SUMIFS(Rezultatai!$J$2:$J$500,Rezultatai!$B$2:$B$500,$K55,Rezultatai!$A$2:$A$500,((Reitingai!$C$2-1)-1),Rezultatai!$D$2:$D$500,"&lt;&gt;Papildomi (R+)"))))*MIN(450,400+(1/70)*(SUMIFS(Parametrai!$B$2:$B$40,Parametrai!$A$2:$A$40,((Reitingai!$C$2-1)-1))-2500)),(SUMIFS(Rezultatai!$J$2:$J$500,Rezultatai!$B$2:$B$500,$K55,Rezultatai!$A$2:$A$500,(Reitingai!$C$2-1),Rezultatai!$D$2:$D$500,"&lt;&gt;Papildomi (R+)")+MIN(SUMIFS(Rezultatai!$J$2:$J$500,Rezultatai!$B$2:$B$500,$K55,Rezultatai!$A$2:$A$500,(Reitingai!$C$2-1),Rezultatai!$D$2:$D$500,"Papildomi (R+)"),0.15*(SUMIFS(Rezultatai!$J$2:$J$500,Rezultatai!$B$2:$B$500,$K55,Rezultatai!$A$2:$A$500,(Reitingai!$C$2-1),Rezultatai!$D$2:$D$500,"&lt;&gt;Papildomi (R+)"))))*MIN(550,450+(1/35)*(SUMIFS(Parametrai!$B$2:$B$40,Parametrai!$A$2:$A$40,(Reitingai!$C$2-1))-2500)))-MIN((SUMIFS(Rezultatai!$J$2:$J$500,Rezultatai!$B$2:$B$500,$K55,Rezultatai!$A$2:$A$500,((Reitingai!$C$2-1)-2),Rezultatai!$D$2:$D$500,"&lt;&gt;Papildomi (R+)")+MIN(SUMIFS(Rezultatai!$J$2:$J$500,Rezultatai!$B$2:$B$500,$K55,Rezultatai!$A$2:$A$500,((Reitingai!$C$2-1)-2),Rezultatai!$D$2:$D$500,"Papildomi (R+)"),0.15*(SUMIFS(Rezultatai!$J$2:$J$500,Rezultatai!$B$2:$B$500,$K55,Rezultatai!$A$2:$A$500,((Reitingai!$C$2-1)-2),Rezultatai!$D$2:$D$500,"&lt;&gt;Papildomi (R+)"))))*MIN(425,375+(1/70)*(SUMIFS(Parametrai!$B$2:$B$40,Parametrai!$A$2:$A$40,((Reitingai!$C$2-1)-2))-2500)),(SUMIFS(Rezultatai!$J$2:$J$500,Rezultatai!$B$2:$B$500,$K55,Rezultatai!$A$2:$A$500,((Reitingai!$C$2-1)-1),Rezultatai!$D$2:$D$500,"&lt;&gt;Papildomi (R+)")+MIN(SUMIFS(Rezultatai!$J$2:$J$500,Rezultatai!$B$2:$B$500,$K55,Rezultatai!$A$2:$A$500,((Reitingai!$C$2-1)-1),Rezultatai!$D$2:$D$500,"Papildomi (R+)"),0.15*(SUMIFS(Rezultatai!$J$2:$J$500,Rezultatai!$B$2:$B$500,$K55,Rezultatai!$A$2:$A$500,((Reitingai!$C$2-1)-1),Rezultatai!$D$2:$D$500,"&lt;&gt;Papildomi (R+)"))))*MIN(450,400+(1/70)*(SUMIFS(Parametrai!$B$2:$B$40,Parametrai!$A$2:$A$40,((Reitingai!$C$2-1)-1))-2500)),(SUMIFS(Rezultatai!$J$2:$J$500,Rezultatai!$B$2:$B$500,$K55,Rezultatai!$A$2:$A$500,(Reitingai!$C$2-1),Rezultatai!$D$2:$D$500,"&lt;&gt;Papildomi (R+)")+MIN(SUMIFS(Rezultatai!$J$2:$J$500,Rezultatai!$B$2:$B$500,$K55,Rezultatai!$A$2:$A$500,(Reitingai!$C$2-1),Rezultatai!$D$2:$D$500,"Papildomi (R+)"),0.15*(SUMIFS(Rezultatai!$J$2:$J$500,Rezultatai!$B$2:$B$500,$K55,Rezultatai!$A$2:$A$500,(Reitingai!$C$2-1),Rezultatai!$D$2:$D$500,"&lt;&gt;Papildomi (R+)"))))*MIN(550,450+(1/35)*(SUMIFS(Parametrai!$B$2:$B$40,Parametrai!$A$2:$A$40,(Reitingai!$C$2-1))-2500))))</f>
        <v>0</v>
      </c>
      <c r="O55" s="17">
        <f t="shared" si="18"/>
        <v>23</v>
      </c>
      <c r="P55" s="17">
        <f t="shared" si="19"/>
        <v>30</v>
      </c>
      <c r="Q55" s="17">
        <f>IF($K55="","",$O55+COUNTIF($O$6:$O55,$O55)-1)</f>
        <v>50</v>
      </c>
    </row>
    <row r="56" spans="1:17" ht="15" customHeight="1" x14ac:dyDescent="0.3">
      <c r="A56" s="13">
        <f>IFERROR(MATCH(51,$Q$6:$Q$105,0),"")</f>
        <v>51</v>
      </c>
      <c r="B56" s="13" t="str">
        <f t="shared" si="10"/>
        <v>Artiom Maslov</v>
      </c>
      <c r="C56" s="13" t="str">
        <f t="shared" si="11"/>
        <v>Vilniaus Aeroklubas</v>
      </c>
      <c r="D56" s="13">
        <f t="shared" si="12"/>
        <v>23</v>
      </c>
      <c r="E56" s="16">
        <f t="shared" si="13"/>
        <v>30</v>
      </c>
      <c r="F56" s="30">
        <f t="shared" si="14"/>
        <v>7</v>
      </c>
      <c r="G56" s="14">
        <f t="shared" si="15"/>
        <v>0</v>
      </c>
      <c r="H56" s="14">
        <f t="shared" si="16"/>
        <v>0</v>
      </c>
      <c r="I56" s="31">
        <f t="shared" si="17"/>
        <v>0</v>
      </c>
      <c r="K56" s="17" t="str">
        <f>IF(Pilotai!B52="","",Pilotai!B52)</f>
        <v>Artiom Maslov</v>
      </c>
      <c r="L56" s="17" t="str">
        <f>IF($K56="","",Pilotai!C52)</f>
        <v>Vilniaus Aeroklubas</v>
      </c>
      <c r="M56" s="18">
        <f>IF($K56="","",IFERROR(INDEX(Reitingai!$G$6:$G$105,MATCH($K56,Reitingai!$B$6:$B$105,0)),0))</f>
        <v>0</v>
      </c>
      <c r="N56" s="18">
        <f>IF($K56="","",SUM((SUMIFS(Rezultatai!$J$2:$J$500,Rezultatai!$B$2:$B$500,$K56,Rezultatai!$A$2:$A$500,((Reitingai!$C$2-1)-2),Rezultatai!$D$2:$D$500,"&lt;&gt;Papildomi (R+)")+MIN(SUMIFS(Rezultatai!$J$2:$J$500,Rezultatai!$B$2:$B$500,$K56,Rezultatai!$A$2:$A$500,((Reitingai!$C$2-1)-2),Rezultatai!$D$2:$D$500,"Papildomi (R+)"),0.15*(SUMIFS(Rezultatai!$J$2:$J$500,Rezultatai!$B$2:$B$500,$K56,Rezultatai!$A$2:$A$500,((Reitingai!$C$2-1)-2),Rezultatai!$D$2:$D$500,"&lt;&gt;Papildomi (R+)"))))*MIN(425,375+(1/70)*(SUMIFS(Parametrai!$B$2:$B$40,Parametrai!$A$2:$A$40,((Reitingai!$C$2-1)-2))-2500)),(SUMIFS(Rezultatai!$J$2:$J$500,Rezultatai!$B$2:$B$500,$K56,Rezultatai!$A$2:$A$500,((Reitingai!$C$2-1)-1),Rezultatai!$D$2:$D$500,"&lt;&gt;Papildomi (R+)")+MIN(SUMIFS(Rezultatai!$J$2:$J$500,Rezultatai!$B$2:$B$500,$K56,Rezultatai!$A$2:$A$500,((Reitingai!$C$2-1)-1),Rezultatai!$D$2:$D$500,"Papildomi (R+)"),0.15*(SUMIFS(Rezultatai!$J$2:$J$500,Rezultatai!$B$2:$B$500,$K56,Rezultatai!$A$2:$A$500,((Reitingai!$C$2-1)-1),Rezultatai!$D$2:$D$500,"&lt;&gt;Papildomi (R+)"))))*MIN(450,400+(1/70)*(SUMIFS(Parametrai!$B$2:$B$40,Parametrai!$A$2:$A$40,((Reitingai!$C$2-1)-1))-2500)),(SUMIFS(Rezultatai!$J$2:$J$500,Rezultatai!$B$2:$B$500,$K56,Rezultatai!$A$2:$A$500,(Reitingai!$C$2-1),Rezultatai!$D$2:$D$500,"&lt;&gt;Papildomi (R+)")+MIN(SUMIFS(Rezultatai!$J$2:$J$500,Rezultatai!$B$2:$B$500,$K56,Rezultatai!$A$2:$A$500,(Reitingai!$C$2-1),Rezultatai!$D$2:$D$500,"Papildomi (R+)"),0.15*(SUMIFS(Rezultatai!$J$2:$J$500,Rezultatai!$B$2:$B$500,$K56,Rezultatai!$A$2:$A$500,(Reitingai!$C$2-1),Rezultatai!$D$2:$D$500,"&lt;&gt;Papildomi (R+)"))))*MIN(550,450+(1/35)*(SUMIFS(Parametrai!$B$2:$B$40,Parametrai!$A$2:$A$40,(Reitingai!$C$2-1))-2500)))-MIN((SUMIFS(Rezultatai!$J$2:$J$500,Rezultatai!$B$2:$B$500,$K56,Rezultatai!$A$2:$A$500,((Reitingai!$C$2-1)-2),Rezultatai!$D$2:$D$500,"&lt;&gt;Papildomi (R+)")+MIN(SUMIFS(Rezultatai!$J$2:$J$500,Rezultatai!$B$2:$B$500,$K56,Rezultatai!$A$2:$A$500,((Reitingai!$C$2-1)-2),Rezultatai!$D$2:$D$500,"Papildomi (R+)"),0.15*(SUMIFS(Rezultatai!$J$2:$J$500,Rezultatai!$B$2:$B$500,$K56,Rezultatai!$A$2:$A$500,((Reitingai!$C$2-1)-2),Rezultatai!$D$2:$D$500,"&lt;&gt;Papildomi (R+)"))))*MIN(425,375+(1/70)*(SUMIFS(Parametrai!$B$2:$B$40,Parametrai!$A$2:$A$40,((Reitingai!$C$2-1)-2))-2500)),(SUMIFS(Rezultatai!$J$2:$J$500,Rezultatai!$B$2:$B$500,$K56,Rezultatai!$A$2:$A$500,((Reitingai!$C$2-1)-1),Rezultatai!$D$2:$D$500,"&lt;&gt;Papildomi (R+)")+MIN(SUMIFS(Rezultatai!$J$2:$J$500,Rezultatai!$B$2:$B$500,$K56,Rezultatai!$A$2:$A$500,((Reitingai!$C$2-1)-1),Rezultatai!$D$2:$D$500,"Papildomi (R+)"),0.15*(SUMIFS(Rezultatai!$J$2:$J$500,Rezultatai!$B$2:$B$500,$K56,Rezultatai!$A$2:$A$500,((Reitingai!$C$2-1)-1),Rezultatai!$D$2:$D$500,"&lt;&gt;Papildomi (R+)"))))*MIN(450,400+(1/70)*(SUMIFS(Parametrai!$B$2:$B$40,Parametrai!$A$2:$A$40,((Reitingai!$C$2-1)-1))-2500)),(SUMIFS(Rezultatai!$J$2:$J$500,Rezultatai!$B$2:$B$500,$K56,Rezultatai!$A$2:$A$500,(Reitingai!$C$2-1),Rezultatai!$D$2:$D$500,"&lt;&gt;Papildomi (R+)")+MIN(SUMIFS(Rezultatai!$J$2:$J$500,Rezultatai!$B$2:$B$500,$K56,Rezultatai!$A$2:$A$500,(Reitingai!$C$2-1),Rezultatai!$D$2:$D$500,"Papildomi (R+)"),0.15*(SUMIFS(Rezultatai!$J$2:$J$500,Rezultatai!$B$2:$B$500,$K56,Rezultatai!$A$2:$A$500,(Reitingai!$C$2-1),Rezultatai!$D$2:$D$500,"&lt;&gt;Papildomi (R+)"))))*MIN(550,450+(1/35)*(SUMIFS(Parametrai!$B$2:$B$40,Parametrai!$A$2:$A$40,(Reitingai!$C$2-1))-2500))))</f>
        <v>0</v>
      </c>
      <c r="O56" s="17">
        <f t="shared" si="18"/>
        <v>23</v>
      </c>
      <c r="P56" s="17">
        <f t="shared" si="19"/>
        <v>30</v>
      </c>
      <c r="Q56" s="17">
        <f>IF($K56="","",$O56+COUNTIF($O$6:$O56,$O56)-1)</f>
        <v>51</v>
      </c>
    </row>
    <row r="57" spans="1:17" ht="15" customHeight="1" x14ac:dyDescent="0.3">
      <c r="A57" s="13">
        <f>IFERROR(MATCH(52,$Q$6:$Q$105,0),"")</f>
        <v>52</v>
      </c>
      <c r="B57" s="13" t="str">
        <f t="shared" si="10"/>
        <v>Audrius Artiškevicius</v>
      </c>
      <c r="C57" s="13" t="str">
        <f t="shared" si="11"/>
        <v>Kauno AASK</v>
      </c>
      <c r="D57" s="13">
        <f t="shared" si="12"/>
        <v>23</v>
      </c>
      <c r="E57" s="16">
        <f t="shared" si="13"/>
        <v>30</v>
      </c>
      <c r="F57" s="30">
        <f t="shared" si="14"/>
        <v>7</v>
      </c>
      <c r="G57" s="14">
        <f t="shared" si="15"/>
        <v>0</v>
      </c>
      <c r="H57" s="14">
        <f t="shared" si="16"/>
        <v>0</v>
      </c>
      <c r="I57" s="31">
        <f t="shared" si="17"/>
        <v>0</v>
      </c>
      <c r="K57" s="17" t="str">
        <f>IF(Pilotai!B53="","",Pilotai!B53)</f>
        <v>Audrius Artiškevicius</v>
      </c>
      <c r="L57" s="17" t="str">
        <f>IF($K57="","",Pilotai!C53)</f>
        <v>Kauno AASK</v>
      </c>
      <c r="M57" s="18">
        <f>IF($K57="","",IFERROR(INDEX(Reitingai!$G$6:$G$105,MATCH($K57,Reitingai!$B$6:$B$105,0)),0))</f>
        <v>0</v>
      </c>
      <c r="N57" s="18">
        <f>IF($K57="","",SUM((SUMIFS(Rezultatai!$J$2:$J$500,Rezultatai!$B$2:$B$500,$K57,Rezultatai!$A$2:$A$500,((Reitingai!$C$2-1)-2),Rezultatai!$D$2:$D$500,"&lt;&gt;Papildomi (R+)")+MIN(SUMIFS(Rezultatai!$J$2:$J$500,Rezultatai!$B$2:$B$500,$K57,Rezultatai!$A$2:$A$500,((Reitingai!$C$2-1)-2),Rezultatai!$D$2:$D$500,"Papildomi (R+)"),0.15*(SUMIFS(Rezultatai!$J$2:$J$500,Rezultatai!$B$2:$B$500,$K57,Rezultatai!$A$2:$A$500,((Reitingai!$C$2-1)-2),Rezultatai!$D$2:$D$500,"&lt;&gt;Papildomi (R+)"))))*MIN(425,375+(1/70)*(SUMIFS(Parametrai!$B$2:$B$40,Parametrai!$A$2:$A$40,((Reitingai!$C$2-1)-2))-2500)),(SUMIFS(Rezultatai!$J$2:$J$500,Rezultatai!$B$2:$B$500,$K57,Rezultatai!$A$2:$A$500,((Reitingai!$C$2-1)-1),Rezultatai!$D$2:$D$500,"&lt;&gt;Papildomi (R+)")+MIN(SUMIFS(Rezultatai!$J$2:$J$500,Rezultatai!$B$2:$B$500,$K57,Rezultatai!$A$2:$A$500,((Reitingai!$C$2-1)-1),Rezultatai!$D$2:$D$500,"Papildomi (R+)"),0.15*(SUMIFS(Rezultatai!$J$2:$J$500,Rezultatai!$B$2:$B$500,$K57,Rezultatai!$A$2:$A$500,((Reitingai!$C$2-1)-1),Rezultatai!$D$2:$D$500,"&lt;&gt;Papildomi (R+)"))))*MIN(450,400+(1/70)*(SUMIFS(Parametrai!$B$2:$B$40,Parametrai!$A$2:$A$40,((Reitingai!$C$2-1)-1))-2500)),(SUMIFS(Rezultatai!$J$2:$J$500,Rezultatai!$B$2:$B$500,$K57,Rezultatai!$A$2:$A$500,(Reitingai!$C$2-1),Rezultatai!$D$2:$D$500,"&lt;&gt;Papildomi (R+)")+MIN(SUMIFS(Rezultatai!$J$2:$J$500,Rezultatai!$B$2:$B$500,$K57,Rezultatai!$A$2:$A$500,(Reitingai!$C$2-1),Rezultatai!$D$2:$D$500,"Papildomi (R+)"),0.15*(SUMIFS(Rezultatai!$J$2:$J$500,Rezultatai!$B$2:$B$500,$K57,Rezultatai!$A$2:$A$500,(Reitingai!$C$2-1),Rezultatai!$D$2:$D$500,"&lt;&gt;Papildomi (R+)"))))*MIN(550,450+(1/35)*(SUMIFS(Parametrai!$B$2:$B$40,Parametrai!$A$2:$A$40,(Reitingai!$C$2-1))-2500)))-MIN((SUMIFS(Rezultatai!$J$2:$J$500,Rezultatai!$B$2:$B$500,$K57,Rezultatai!$A$2:$A$500,((Reitingai!$C$2-1)-2),Rezultatai!$D$2:$D$500,"&lt;&gt;Papildomi (R+)")+MIN(SUMIFS(Rezultatai!$J$2:$J$500,Rezultatai!$B$2:$B$500,$K57,Rezultatai!$A$2:$A$500,((Reitingai!$C$2-1)-2),Rezultatai!$D$2:$D$500,"Papildomi (R+)"),0.15*(SUMIFS(Rezultatai!$J$2:$J$500,Rezultatai!$B$2:$B$500,$K57,Rezultatai!$A$2:$A$500,((Reitingai!$C$2-1)-2),Rezultatai!$D$2:$D$500,"&lt;&gt;Papildomi (R+)"))))*MIN(425,375+(1/70)*(SUMIFS(Parametrai!$B$2:$B$40,Parametrai!$A$2:$A$40,((Reitingai!$C$2-1)-2))-2500)),(SUMIFS(Rezultatai!$J$2:$J$500,Rezultatai!$B$2:$B$500,$K57,Rezultatai!$A$2:$A$500,((Reitingai!$C$2-1)-1),Rezultatai!$D$2:$D$500,"&lt;&gt;Papildomi (R+)")+MIN(SUMIFS(Rezultatai!$J$2:$J$500,Rezultatai!$B$2:$B$500,$K57,Rezultatai!$A$2:$A$500,((Reitingai!$C$2-1)-1),Rezultatai!$D$2:$D$500,"Papildomi (R+)"),0.15*(SUMIFS(Rezultatai!$J$2:$J$500,Rezultatai!$B$2:$B$500,$K57,Rezultatai!$A$2:$A$500,((Reitingai!$C$2-1)-1),Rezultatai!$D$2:$D$500,"&lt;&gt;Papildomi (R+)"))))*MIN(450,400+(1/70)*(SUMIFS(Parametrai!$B$2:$B$40,Parametrai!$A$2:$A$40,((Reitingai!$C$2-1)-1))-2500)),(SUMIFS(Rezultatai!$J$2:$J$500,Rezultatai!$B$2:$B$500,$K57,Rezultatai!$A$2:$A$500,(Reitingai!$C$2-1),Rezultatai!$D$2:$D$500,"&lt;&gt;Papildomi (R+)")+MIN(SUMIFS(Rezultatai!$J$2:$J$500,Rezultatai!$B$2:$B$500,$K57,Rezultatai!$A$2:$A$500,(Reitingai!$C$2-1),Rezultatai!$D$2:$D$500,"Papildomi (R+)"),0.15*(SUMIFS(Rezultatai!$J$2:$J$500,Rezultatai!$B$2:$B$500,$K57,Rezultatai!$A$2:$A$500,(Reitingai!$C$2-1),Rezultatai!$D$2:$D$500,"&lt;&gt;Papildomi (R+)"))))*MIN(550,450+(1/35)*(SUMIFS(Parametrai!$B$2:$B$40,Parametrai!$A$2:$A$40,(Reitingai!$C$2-1))-2500))))</f>
        <v>0</v>
      </c>
      <c r="O57" s="17">
        <f t="shared" si="18"/>
        <v>23</v>
      </c>
      <c r="P57" s="17">
        <f t="shared" si="19"/>
        <v>30</v>
      </c>
      <c r="Q57" s="17">
        <f>IF($K57="","",$O57+COUNTIF($O$6:$O57,$O57)-1)</f>
        <v>52</v>
      </c>
    </row>
    <row r="58" spans="1:17" ht="15" customHeight="1" x14ac:dyDescent="0.3">
      <c r="A58" s="13">
        <f>IFERROR(MATCH(53,$Q$6:$Q$105,0),"")</f>
        <v>53</v>
      </c>
      <c r="B58" s="13" t="str">
        <f t="shared" si="10"/>
        <v>Benvenutas Ivanauskas</v>
      </c>
      <c r="C58" s="13" t="str">
        <f t="shared" si="11"/>
        <v>Kauno AASK</v>
      </c>
      <c r="D58" s="13">
        <f t="shared" si="12"/>
        <v>23</v>
      </c>
      <c r="E58" s="16">
        <f t="shared" si="13"/>
        <v>30</v>
      </c>
      <c r="F58" s="30">
        <f t="shared" si="14"/>
        <v>7</v>
      </c>
      <c r="G58" s="14">
        <f t="shared" si="15"/>
        <v>0</v>
      </c>
      <c r="H58" s="14">
        <f t="shared" si="16"/>
        <v>0</v>
      </c>
      <c r="I58" s="31">
        <f t="shared" si="17"/>
        <v>0</v>
      </c>
      <c r="K58" s="17" t="str">
        <f>IF(Pilotai!B54="","",Pilotai!B54)</f>
        <v>Benvenutas Ivanauskas</v>
      </c>
      <c r="L58" s="17" t="str">
        <f>IF($K58="","",Pilotai!C54)</f>
        <v>Kauno AASK</v>
      </c>
      <c r="M58" s="18">
        <f>IF($K58="","",IFERROR(INDEX(Reitingai!$G$6:$G$105,MATCH($K58,Reitingai!$B$6:$B$105,0)),0))</f>
        <v>0</v>
      </c>
      <c r="N58" s="18">
        <f>IF($K58="","",SUM((SUMIFS(Rezultatai!$J$2:$J$500,Rezultatai!$B$2:$B$500,$K58,Rezultatai!$A$2:$A$500,((Reitingai!$C$2-1)-2),Rezultatai!$D$2:$D$500,"&lt;&gt;Papildomi (R+)")+MIN(SUMIFS(Rezultatai!$J$2:$J$500,Rezultatai!$B$2:$B$500,$K58,Rezultatai!$A$2:$A$500,((Reitingai!$C$2-1)-2),Rezultatai!$D$2:$D$500,"Papildomi (R+)"),0.15*(SUMIFS(Rezultatai!$J$2:$J$500,Rezultatai!$B$2:$B$500,$K58,Rezultatai!$A$2:$A$500,((Reitingai!$C$2-1)-2),Rezultatai!$D$2:$D$500,"&lt;&gt;Papildomi (R+)"))))*MIN(425,375+(1/70)*(SUMIFS(Parametrai!$B$2:$B$40,Parametrai!$A$2:$A$40,((Reitingai!$C$2-1)-2))-2500)),(SUMIFS(Rezultatai!$J$2:$J$500,Rezultatai!$B$2:$B$500,$K58,Rezultatai!$A$2:$A$500,((Reitingai!$C$2-1)-1),Rezultatai!$D$2:$D$500,"&lt;&gt;Papildomi (R+)")+MIN(SUMIFS(Rezultatai!$J$2:$J$500,Rezultatai!$B$2:$B$500,$K58,Rezultatai!$A$2:$A$500,((Reitingai!$C$2-1)-1),Rezultatai!$D$2:$D$500,"Papildomi (R+)"),0.15*(SUMIFS(Rezultatai!$J$2:$J$500,Rezultatai!$B$2:$B$500,$K58,Rezultatai!$A$2:$A$500,((Reitingai!$C$2-1)-1),Rezultatai!$D$2:$D$500,"&lt;&gt;Papildomi (R+)"))))*MIN(450,400+(1/70)*(SUMIFS(Parametrai!$B$2:$B$40,Parametrai!$A$2:$A$40,((Reitingai!$C$2-1)-1))-2500)),(SUMIFS(Rezultatai!$J$2:$J$500,Rezultatai!$B$2:$B$500,$K58,Rezultatai!$A$2:$A$500,(Reitingai!$C$2-1),Rezultatai!$D$2:$D$500,"&lt;&gt;Papildomi (R+)")+MIN(SUMIFS(Rezultatai!$J$2:$J$500,Rezultatai!$B$2:$B$500,$K58,Rezultatai!$A$2:$A$500,(Reitingai!$C$2-1),Rezultatai!$D$2:$D$500,"Papildomi (R+)"),0.15*(SUMIFS(Rezultatai!$J$2:$J$500,Rezultatai!$B$2:$B$500,$K58,Rezultatai!$A$2:$A$500,(Reitingai!$C$2-1),Rezultatai!$D$2:$D$500,"&lt;&gt;Papildomi (R+)"))))*MIN(550,450+(1/35)*(SUMIFS(Parametrai!$B$2:$B$40,Parametrai!$A$2:$A$40,(Reitingai!$C$2-1))-2500)))-MIN((SUMIFS(Rezultatai!$J$2:$J$500,Rezultatai!$B$2:$B$500,$K58,Rezultatai!$A$2:$A$500,((Reitingai!$C$2-1)-2),Rezultatai!$D$2:$D$500,"&lt;&gt;Papildomi (R+)")+MIN(SUMIFS(Rezultatai!$J$2:$J$500,Rezultatai!$B$2:$B$500,$K58,Rezultatai!$A$2:$A$500,((Reitingai!$C$2-1)-2),Rezultatai!$D$2:$D$500,"Papildomi (R+)"),0.15*(SUMIFS(Rezultatai!$J$2:$J$500,Rezultatai!$B$2:$B$500,$K58,Rezultatai!$A$2:$A$500,((Reitingai!$C$2-1)-2),Rezultatai!$D$2:$D$500,"&lt;&gt;Papildomi (R+)"))))*MIN(425,375+(1/70)*(SUMIFS(Parametrai!$B$2:$B$40,Parametrai!$A$2:$A$40,((Reitingai!$C$2-1)-2))-2500)),(SUMIFS(Rezultatai!$J$2:$J$500,Rezultatai!$B$2:$B$500,$K58,Rezultatai!$A$2:$A$500,((Reitingai!$C$2-1)-1),Rezultatai!$D$2:$D$500,"&lt;&gt;Papildomi (R+)")+MIN(SUMIFS(Rezultatai!$J$2:$J$500,Rezultatai!$B$2:$B$500,$K58,Rezultatai!$A$2:$A$500,((Reitingai!$C$2-1)-1),Rezultatai!$D$2:$D$500,"Papildomi (R+)"),0.15*(SUMIFS(Rezultatai!$J$2:$J$500,Rezultatai!$B$2:$B$500,$K58,Rezultatai!$A$2:$A$500,((Reitingai!$C$2-1)-1),Rezultatai!$D$2:$D$500,"&lt;&gt;Papildomi (R+)"))))*MIN(450,400+(1/70)*(SUMIFS(Parametrai!$B$2:$B$40,Parametrai!$A$2:$A$40,((Reitingai!$C$2-1)-1))-2500)),(SUMIFS(Rezultatai!$J$2:$J$500,Rezultatai!$B$2:$B$500,$K58,Rezultatai!$A$2:$A$500,(Reitingai!$C$2-1),Rezultatai!$D$2:$D$500,"&lt;&gt;Papildomi (R+)")+MIN(SUMIFS(Rezultatai!$J$2:$J$500,Rezultatai!$B$2:$B$500,$K58,Rezultatai!$A$2:$A$500,(Reitingai!$C$2-1),Rezultatai!$D$2:$D$500,"Papildomi (R+)"),0.15*(SUMIFS(Rezultatai!$J$2:$J$500,Rezultatai!$B$2:$B$500,$K58,Rezultatai!$A$2:$A$500,(Reitingai!$C$2-1),Rezultatai!$D$2:$D$500,"&lt;&gt;Papildomi (R+)"))))*MIN(550,450+(1/35)*(SUMIFS(Parametrai!$B$2:$B$40,Parametrai!$A$2:$A$40,(Reitingai!$C$2-1))-2500))))</f>
        <v>0</v>
      </c>
      <c r="O58" s="17">
        <f t="shared" si="18"/>
        <v>23</v>
      </c>
      <c r="P58" s="17">
        <f t="shared" si="19"/>
        <v>30</v>
      </c>
      <c r="Q58" s="17">
        <f>IF($K58="","",$O58+COUNTIF($O$6:$O58,$O58)-1)</f>
        <v>53</v>
      </c>
    </row>
    <row r="59" spans="1:17" ht="15" customHeight="1" x14ac:dyDescent="0.3">
      <c r="A59" s="13">
        <f>IFERROR(MATCH(54,$Q$6:$Q$105,0),"")</f>
        <v>54</v>
      </c>
      <c r="B59" s="13" t="str">
        <f t="shared" si="10"/>
        <v>Darius Šarkiunas</v>
      </c>
      <c r="C59" s="13" t="str">
        <f t="shared" si="11"/>
        <v>Kauno AASK</v>
      </c>
      <c r="D59" s="13">
        <f t="shared" si="12"/>
        <v>23</v>
      </c>
      <c r="E59" s="16">
        <f t="shared" si="13"/>
        <v>30</v>
      </c>
      <c r="F59" s="30">
        <f t="shared" si="14"/>
        <v>7</v>
      </c>
      <c r="G59" s="14">
        <f t="shared" si="15"/>
        <v>0</v>
      </c>
      <c r="H59" s="14">
        <f t="shared" si="16"/>
        <v>0</v>
      </c>
      <c r="I59" s="31">
        <f t="shared" si="17"/>
        <v>0</v>
      </c>
      <c r="K59" s="17" t="str">
        <f>IF(Pilotai!B55="","",Pilotai!B55)</f>
        <v>Darius Šarkiunas</v>
      </c>
      <c r="L59" s="17" t="str">
        <f>IF($K59="","",Pilotai!C55)</f>
        <v>Kauno AASK</v>
      </c>
      <c r="M59" s="18">
        <f>IF($K59="","",IFERROR(INDEX(Reitingai!$G$6:$G$105,MATCH($K59,Reitingai!$B$6:$B$105,0)),0))</f>
        <v>0</v>
      </c>
      <c r="N59" s="18">
        <f>IF($K59="","",SUM((SUMIFS(Rezultatai!$J$2:$J$500,Rezultatai!$B$2:$B$500,$K59,Rezultatai!$A$2:$A$500,((Reitingai!$C$2-1)-2),Rezultatai!$D$2:$D$500,"&lt;&gt;Papildomi (R+)")+MIN(SUMIFS(Rezultatai!$J$2:$J$500,Rezultatai!$B$2:$B$500,$K59,Rezultatai!$A$2:$A$500,((Reitingai!$C$2-1)-2),Rezultatai!$D$2:$D$500,"Papildomi (R+)"),0.15*(SUMIFS(Rezultatai!$J$2:$J$500,Rezultatai!$B$2:$B$500,$K59,Rezultatai!$A$2:$A$500,((Reitingai!$C$2-1)-2),Rezultatai!$D$2:$D$500,"&lt;&gt;Papildomi (R+)"))))*MIN(425,375+(1/70)*(SUMIFS(Parametrai!$B$2:$B$40,Parametrai!$A$2:$A$40,((Reitingai!$C$2-1)-2))-2500)),(SUMIFS(Rezultatai!$J$2:$J$500,Rezultatai!$B$2:$B$500,$K59,Rezultatai!$A$2:$A$500,((Reitingai!$C$2-1)-1),Rezultatai!$D$2:$D$500,"&lt;&gt;Papildomi (R+)")+MIN(SUMIFS(Rezultatai!$J$2:$J$500,Rezultatai!$B$2:$B$500,$K59,Rezultatai!$A$2:$A$500,((Reitingai!$C$2-1)-1),Rezultatai!$D$2:$D$500,"Papildomi (R+)"),0.15*(SUMIFS(Rezultatai!$J$2:$J$500,Rezultatai!$B$2:$B$500,$K59,Rezultatai!$A$2:$A$500,((Reitingai!$C$2-1)-1),Rezultatai!$D$2:$D$500,"&lt;&gt;Papildomi (R+)"))))*MIN(450,400+(1/70)*(SUMIFS(Parametrai!$B$2:$B$40,Parametrai!$A$2:$A$40,((Reitingai!$C$2-1)-1))-2500)),(SUMIFS(Rezultatai!$J$2:$J$500,Rezultatai!$B$2:$B$500,$K59,Rezultatai!$A$2:$A$500,(Reitingai!$C$2-1),Rezultatai!$D$2:$D$500,"&lt;&gt;Papildomi (R+)")+MIN(SUMIFS(Rezultatai!$J$2:$J$500,Rezultatai!$B$2:$B$500,$K59,Rezultatai!$A$2:$A$500,(Reitingai!$C$2-1),Rezultatai!$D$2:$D$500,"Papildomi (R+)"),0.15*(SUMIFS(Rezultatai!$J$2:$J$500,Rezultatai!$B$2:$B$500,$K59,Rezultatai!$A$2:$A$500,(Reitingai!$C$2-1),Rezultatai!$D$2:$D$500,"&lt;&gt;Papildomi (R+)"))))*MIN(550,450+(1/35)*(SUMIFS(Parametrai!$B$2:$B$40,Parametrai!$A$2:$A$40,(Reitingai!$C$2-1))-2500)))-MIN((SUMIFS(Rezultatai!$J$2:$J$500,Rezultatai!$B$2:$B$500,$K59,Rezultatai!$A$2:$A$500,((Reitingai!$C$2-1)-2),Rezultatai!$D$2:$D$500,"&lt;&gt;Papildomi (R+)")+MIN(SUMIFS(Rezultatai!$J$2:$J$500,Rezultatai!$B$2:$B$500,$K59,Rezultatai!$A$2:$A$500,((Reitingai!$C$2-1)-2),Rezultatai!$D$2:$D$500,"Papildomi (R+)"),0.15*(SUMIFS(Rezultatai!$J$2:$J$500,Rezultatai!$B$2:$B$500,$K59,Rezultatai!$A$2:$A$500,((Reitingai!$C$2-1)-2),Rezultatai!$D$2:$D$500,"&lt;&gt;Papildomi (R+)"))))*MIN(425,375+(1/70)*(SUMIFS(Parametrai!$B$2:$B$40,Parametrai!$A$2:$A$40,((Reitingai!$C$2-1)-2))-2500)),(SUMIFS(Rezultatai!$J$2:$J$500,Rezultatai!$B$2:$B$500,$K59,Rezultatai!$A$2:$A$500,((Reitingai!$C$2-1)-1),Rezultatai!$D$2:$D$500,"&lt;&gt;Papildomi (R+)")+MIN(SUMIFS(Rezultatai!$J$2:$J$500,Rezultatai!$B$2:$B$500,$K59,Rezultatai!$A$2:$A$500,((Reitingai!$C$2-1)-1),Rezultatai!$D$2:$D$500,"Papildomi (R+)"),0.15*(SUMIFS(Rezultatai!$J$2:$J$500,Rezultatai!$B$2:$B$500,$K59,Rezultatai!$A$2:$A$500,((Reitingai!$C$2-1)-1),Rezultatai!$D$2:$D$500,"&lt;&gt;Papildomi (R+)"))))*MIN(450,400+(1/70)*(SUMIFS(Parametrai!$B$2:$B$40,Parametrai!$A$2:$A$40,((Reitingai!$C$2-1)-1))-2500)),(SUMIFS(Rezultatai!$J$2:$J$500,Rezultatai!$B$2:$B$500,$K59,Rezultatai!$A$2:$A$500,(Reitingai!$C$2-1),Rezultatai!$D$2:$D$500,"&lt;&gt;Papildomi (R+)")+MIN(SUMIFS(Rezultatai!$J$2:$J$500,Rezultatai!$B$2:$B$500,$K59,Rezultatai!$A$2:$A$500,(Reitingai!$C$2-1),Rezultatai!$D$2:$D$500,"Papildomi (R+)"),0.15*(SUMIFS(Rezultatai!$J$2:$J$500,Rezultatai!$B$2:$B$500,$K59,Rezultatai!$A$2:$A$500,(Reitingai!$C$2-1),Rezultatai!$D$2:$D$500,"&lt;&gt;Papildomi (R+)"))))*MIN(550,450+(1/35)*(SUMIFS(Parametrai!$B$2:$B$40,Parametrai!$A$2:$A$40,(Reitingai!$C$2-1))-2500))))</f>
        <v>0</v>
      </c>
      <c r="O59" s="17">
        <f t="shared" si="18"/>
        <v>23</v>
      </c>
      <c r="P59" s="17">
        <f t="shared" si="19"/>
        <v>30</v>
      </c>
      <c r="Q59" s="17">
        <f>IF($K59="","",$O59+COUNTIF($O$6:$O59,$O59)-1)</f>
        <v>54</v>
      </c>
    </row>
    <row r="60" spans="1:17" ht="15" customHeight="1" x14ac:dyDescent="0.3">
      <c r="A60" s="13">
        <f>IFERROR(MATCH(55,$Q$6:$Q$105,0),"")</f>
        <v>55</v>
      </c>
      <c r="B60" s="13" t="str">
        <f t="shared" si="10"/>
        <v>Domas Juknevičius</v>
      </c>
      <c r="C60" s="13" t="str">
        <f t="shared" si="11"/>
        <v>Kauno AASK</v>
      </c>
      <c r="D60" s="13">
        <f t="shared" si="12"/>
        <v>23</v>
      </c>
      <c r="E60" s="16">
        <f t="shared" si="13"/>
        <v>30</v>
      </c>
      <c r="F60" s="30">
        <f t="shared" si="14"/>
        <v>7</v>
      </c>
      <c r="G60" s="14">
        <f t="shared" si="15"/>
        <v>0</v>
      </c>
      <c r="H60" s="14">
        <f t="shared" si="16"/>
        <v>0</v>
      </c>
      <c r="I60" s="31">
        <f t="shared" si="17"/>
        <v>0</v>
      </c>
      <c r="K60" s="17" t="str">
        <f>IF(Pilotai!B56="","",Pilotai!B56)</f>
        <v>Domas Juknevičius</v>
      </c>
      <c r="L60" s="17" t="str">
        <f>IF($K60="","",Pilotai!C56)</f>
        <v>Kauno AASK</v>
      </c>
      <c r="M60" s="18">
        <f>IF($K60="","",IFERROR(INDEX(Reitingai!$G$6:$G$105,MATCH($K60,Reitingai!$B$6:$B$105,0)),0))</f>
        <v>0</v>
      </c>
      <c r="N60" s="18">
        <f>IF($K60="","",SUM((SUMIFS(Rezultatai!$J$2:$J$500,Rezultatai!$B$2:$B$500,$K60,Rezultatai!$A$2:$A$500,((Reitingai!$C$2-1)-2),Rezultatai!$D$2:$D$500,"&lt;&gt;Papildomi (R+)")+MIN(SUMIFS(Rezultatai!$J$2:$J$500,Rezultatai!$B$2:$B$500,$K60,Rezultatai!$A$2:$A$500,((Reitingai!$C$2-1)-2),Rezultatai!$D$2:$D$500,"Papildomi (R+)"),0.15*(SUMIFS(Rezultatai!$J$2:$J$500,Rezultatai!$B$2:$B$500,$K60,Rezultatai!$A$2:$A$500,((Reitingai!$C$2-1)-2),Rezultatai!$D$2:$D$500,"&lt;&gt;Papildomi (R+)"))))*MIN(425,375+(1/70)*(SUMIFS(Parametrai!$B$2:$B$40,Parametrai!$A$2:$A$40,((Reitingai!$C$2-1)-2))-2500)),(SUMIFS(Rezultatai!$J$2:$J$500,Rezultatai!$B$2:$B$500,$K60,Rezultatai!$A$2:$A$500,((Reitingai!$C$2-1)-1),Rezultatai!$D$2:$D$500,"&lt;&gt;Papildomi (R+)")+MIN(SUMIFS(Rezultatai!$J$2:$J$500,Rezultatai!$B$2:$B$500,$K60,Rezultatai!$A$2:$A$500,((Reitingai!$C$2-1)-1),Rezultatai!$D$2:$D$500,"Papildomi (R+)"),0.15*(SUMIFS(Rezultatai!$J$2:$J$500,Rezultatai!$B$2:$B$500,$K60,Rezultatai!$A$2:$A$500,((Reitingai!$C$2-1)-1),Rezultatai!$D$2:$D$500,"&lt;&gt;Papildomi (R+)"))))*MIN(450,400+(1/70)*(SUMIFS(Parametrai!$B$2:$B$40,Parametrai!$A$2:$A$40,((Reitingai!$C$2-1)-1))-2500)),(SUMIFS(Rezultatai!$J$2:$J$500,Rezultatai!$B$2:$B$500,$K60,Rezultatai!$A$2:$A$500,(Reitingai!$C$2-1),Rezultatai!$D$2:$D$500,"&lt;&gt;Papildomi (R+)")+MIN(SUMIFS(Rezultatai!$J$2:$J$500,Rezultatai!$B$2:$B$500,$K60,Rezultatai!$A$2:$A$500,(Reitingai!$C$2-1),Rezultatai!$D$2:$D$500,"Papildomi (R+)"),0.15*(SUMIFS(Rezultatai!$J$2:$J$500,Rezultatai!$B$2:$B$500,$K60,Rezultatai!$A$2:$A$500,(Reitingai!$C$2-1),Rezultatai!$D$2:$D$500,"&lt;&gt;Papildomi (R+)"))))*MIN(550,450+(1/35)*(SUMIFS(Parametrai!$B$2:$B$40,Parametrai!$A$2:$A$40,(Reitingai!$C$2-1))-2500)))-MIN((SUMIFS(Rezultatai!$J$2:$J$500,Rezultatai!$B$2:$B$500,$K60,Rezultatai!$A$2:$A$500,((Reitingai!$C$2-1)-2),Rezultatai!$D$2:$D$500,"&lt;&gt;Papildomi (R+)")+MIN(SUMIFS(Rezultatai!$J$2:$J$500,Rezultatai!$B$2:$B$500,$K60,Rezultatai!$A$2:$A$500,((Reitingai!$C$2-1)-2),Rezultatai!$D$2:$D$500,"Papildomi (R+)"),0.15*(SUMIFS(Rezultatai!$J$2:$J$500,Rezultatai!$B$2:$B$500,$K60,Rezultatai!$A$2:$A$500,((Reitingai!$C$2-1)-2),Rezultatai!$D$2:$D$500,"&lt;&gt;Papildomi (R+)"))))*MIN(425,375+(1/70)*(SUMIFS(Parametrai!$B$2:$B$40,Parametrai!$A$2:$A$40,((Reitingai!$C$2-1)-2))-2500)),(SUMIFS(Rezultatai!$J$2:$J$500,Rezultatai!$B$2:$B$500,$K60,Rezultatai!$A$2:$A$500,((Reitingai!$C$2-1)-1),Rezultatai!$D$2:$D$500,"&lt;&gt;Papildomi (R+)")+MIN(SUMIFS(Rezultatai!$J$2:$J$500,Rezultatai!$B$2:$B$500,$K60,Rezultatai!$A$2:$A$500,((Reitingai!$C$2-1)-1),Rezultatai!$D$2:$D$500,"Papildomi (R+)"),0.15*(SUMIFS(Rezultatai!$J$2:$J$500,Rezultatai!$B$2:$B$500,$K60,Rezultatai!$A$2:$A$500,((Reitingai!$C$2-1)-1),Rezultatai!$D$2:$D$500,"&lt;&gt;Papildomi (R+)"))))*MIN(450,400+(1/70)*(SUMIFS(Parametrai!$B$2:$B$40,Parametrai!$A$2:$A$40,((Reitingai!$C$2-1)-1))-2500)),(SUMIFS(Rezultatai!$J$2:$J$500,Rezultatai!$B$2:$B$500,$K60,Rezultatai!$A$2:$A$500,(Reitingai!$C$2-1),Rezultatai!$D$2:$D$500,"&lt;&gt;Papildomi (R+)")+MIN(SUMIFS(Rezultatai!$J$2:$J$500,Rezultatai!$B$2:$B$500,$K60,Rezultatai!$A$2:$A$500,(Reitingai!$C$2-1),Rezultatai!$D$2:$D$500,"Papildomi (R+)"),0.15*(SUMIFS(Rezultatai!$J$2:$J$500,Rezultatai!$B$2:$B$500,$K60,Rezultatai!$A$2:$A$500,(Reitingai!$C$2-1),Rezultatai!$D$2:$D$500,"&lt;&gt;Papildomi (R+)"))))*MIN(550,450+(1/35)*(SUMIFS(Parametrai!$B$2:$B$40,Parametrai!$A$2:$A$40,(Reitingai!$C$2-1))-2500))))</f>
        <v>0</v>
      </c>
      <c r="O60" s="17">
        <f t="shared" si="18"/>
        <v>23</v>
      </c>
      <c r="P60" s="17">
        <f t="shared" si="19"/>
        <v>30</v>
      </c>
      <c r="Q60" s="17">
        <f>IF($K60="","",$O60+COUNTIF($O$6:$O60,$O60)-1)</f>
        <v>55</v>
      </c>
    </row>
    <row r="61" spans="1:17" ht="15" customHeight="1" x14ac:dyDescent="0.3">
      <c r="A61" s="13">
        <f>IFERROR(MATCH(56,$Q$6:$Q$105,0),"")</f>
        <v>56</v>
      </c>
      <c r="B61" s="13" t="str">
        <f t="shared" si="10"/>
        <v>Donatas Vaičiulis</v>
      </c>
      <c r="C61" s="13" t="str">
        <f t="shared" si="11"/>
        <v>Pamario Sklandytojų Klubas</v>
      </c>
      <c r="D61" s="13">
        <f t="shared" si="12"/>
        <v>23</v>
      </c>
      <c r="E61" s="16">
        <f t="shared" si="13"/>
        <v>30</v>
      </c>
      <c r="F61" s="30">
        <f t="shared" si="14"/>
        <v>7</v>
      </c>
      <c r="G61" s="14">
        <f t="shared" si="15"/>
        <v>0</v>
      </c>
      <c r="H61" s="14">
        <f t="shared" si="16"/>
        <v>0</v>
      </c>
      <c r="I61" s="31">
        <f t="shared" si="17"/>
        <v>0</v>
      </c>
      <c r="K61" s="17" t="str">
        <f>IF(Pilotai!B57="","",Pilotai!B57)</f>
        <v>Donatas Vaičiulis</v>
      </c>
      <c r="L61" s="17" t="str">
        <f>IF($K61="","",Pilotai!C57)</f>
        <v>Pamario Sklandytojų Klubas</v>
      </c>
      <c r="M61" s="18">
        <f>IF($K61="","",IFERROR(INDEX(Reitingai!$G$6:$G$105,MATCH($K61,Reitingai!$B$6:$B$105,0)),0))</f>
        <v>0</v>
      </c>
      <c r="N61" s="18">
        <f>IF($K61="","",SUM((SUMIFS(Rezultatai!$J$2:$J$500,Rezultatai!$B$2:$B$500,$K61,Rezultatai!$A$2:$A$500,((Reitingai!$C$2-1)-2),Rezultatai!$D$2:$D$500,"&lt;&gt;Papildomi (R+)")+MIN(SUMIFS(Rezultatai!$J$2:$J$500,Rezultatai!$B$2:$B$500,$K61,Rezultatai!$A$2:$A$500,((Reitingai!$C$2-1)-2),Rezultatai!$D$2:$D$500,"Papildomi (R+)"),0.15*(SUMIFS(Rezultatai!$J$2:$J$500,Rezultatai!$B$2:$B$500,$K61,Rezultatai!$A$2:$A$500,((Reitingai!$C$2-1)-2),Rezultatai!$D$2:$D$500,"&lt;&gt;Papildomi (R+)"))))*MIN(425,375+(1/70)*(SUMIFS(Parametrai!$B$2:$B$40,Parametrai!$A$2:$A$40,((Reitingai!$C$2-1)-2))-2500)),(SUMIFS(Rezultatai!$J$2:$J$500,Rezultatai!$B$2:$B$500,$K61,Rezultatai!$A$2:$A$500,((Reitingai!$C$2-1)-1),Rezultatai!$D$2:$D$500,"&lt;&gt;Papildomi (R+)")+MIN(SUMIFS(Rezultatai!$J$2:$J$500,Rezultatai!$B$2:$B$500,$K61,Rezultatai!$A$2:$A$500,((Reitingai!$C$2-1)-1),Rezultatai!$D$2:$D$500,"Papildomi (R+)"),0.15*(SUMIFS(Rezultatai!$J$2:$J$500,Rezultatai!$B$2:$B$500,$K61,Rezultatai!$A$2:$A$500,((Reitingai!$C$2-1)-1),Rezultatai!$D$2:$D$500,"&lt;&gt;Papildomi (R+)"))))*MIN(450,400+(1/70)*(SUMIFS(Parametrai!$B$2:$B$40,Parametrai!$A$2:$A$40,((Reitingai!$C$2-1)-1))-2500)),(SUMIFS(Rezultatai!$J$2:$J$500,Rezultatai!$B$2:$B$500,$K61,Rezultatai!$A$2:$A$500,(Reitingai!$C$2-1),Rezultatai!$D$2:$D$500,"&lt;&gt;Papildomi (R+)")+MIN(SUMIFS(Rezultatai!$J$2:$J$500,Rezultatai!$B$2:$B$500,$K61,Rezultatai!$A$2:$A$500,(Reitingai!$C$2-1),Rezultatai!$D$2:$D$500,"Papildomi (R+)"),0.15*(SUMIFS(Rezultatai!$J$2:$J$500,Rezultatai!$B$2:$B$500,$K61,Rezultatai!$A$2:$A$500,(Reitingai!$C$2-1),Rezultatai!$D$2:$D$500,"&lt;&gt;Papildomi (R+)"))))*MIN(550,450+(1/35)*(SUMIFS(Parametrai!$B$2:$B$40,Parametrai!$A$2:$A$40,(Reitingai!$C$2-1))-2500)))-MIN((SUMIFS(Rezultatai!$J$2:$J$500,Rezultatai!$B$2:$B$500,$K61,Rezultatai!$A$2:$A$500,((Reitingai!$C$2-1)-2),Rezultatai!$D$2:$D$500,"&lt;&gt;Papildomi (R+)")+MIN(SUMIFS(Rezultatai!$J$2:$J$500,Rezultatai!$B$2:$B$500,$K61,Rezultatai!$A$2:$A$500,((Reitingai!$C$2-1)-2),Rezultatai!$D$2:$D$500,"Papildomi (R+)"),0.15*(SUMIFS(Rezultatai!$J$2:$J$500,Rezultatai!$B$2:$B$500,$K61,Rezultatai!$A$2:$A$500,((Reitingai!$C$2-1)-2),Rezultatai!$D$2:$D$500,"&lt;&gt;Papildomi (R+)"))))*MIN(425,375+(1/70)*(SUMIFS(Parametrai!$B$2:$B$40,Parametrai!$A$2:$A$40,((Reitingai!$C$2-1)-2))-2500)),(SUMIFS(Rezultatai!$J$2:$J$500,Rezultatai!$B$2:$B$500,$K61,Rezultatai!$A$2:$A$500,((Reitingai!$C$2-1)-1),Rezultatai!$D$2:$D$500,"&lt;&gt;Papildomi (R+)")+MIN(SUMIFS(Rezultatai!$J$2:$J$500,Rezultatai!$B$2:$B$500,$K61,Rezultatai!$A$2:$A$500,((Reitingai!$C$2-1)-1),Rezultatai!$D$2:$D$500,"Papildomi (R+)"),0.15*(SUMIFS(Rezultatai!$J$2:$J$500,Rezultatai!$B$2:$B$500,$K61,Rezultatai!$A$2:$A$500,((Reitingai!$C$2-1)-1),Rezultatai!$D$2:$D$500,"&lt;&gt;Papildomi (R+)"))))*MIN(450,400+(1/70)*(SUMIFS(Parametrai!$B$2:$B$40,Parametrai!$A$2:$A$40,((Reitingai!$C$2-1)-1))-2500)),(SUMIFS(Rezultatai!$J$2:$J$500,Rezultatai!$B$2:$B$500,$K61,Rezultatai!$A$2:$A$500,(Reitingai!$C$2-1),Rezultatai!$D$2:$D$500,"&lt;&gt;Papildomi (R+)")+MIN(SUMIFS(Rezultatai!$J$2:$J$500,Rezultatai!$B$2:$B$500,$K61,Rezultatai!$A$2:$A$500,(Reitingai!$C$2-1),Rezultatai!$D$2:$D$500,"Papildomi (R+)"),0.15*(SUMIFS(Rezultatai!$J$2:$J$500,Rezultatai!$B$2:$B$500,$K61,Rezultatai!$A$2:$A$500,(Reitingai!$C$2-1),Rezultatai!$D$2:$D$500,"&lt;&gt;Papildomi (R+)"))))*MIN(550,450+(1/35)*(SUMIFS(Parametrai!$B$2:$B$40,Parametrai!$A$2:$A$40,(Reitingai!$C$2-1))-2500))))</f>
        <v>0</v>
      </c>
      <c r="O61" s="17">
        <f t="shared" si="18"/>
        <v>23</v>
      </c>
      <c r="P61" s="17">
        <f t="shared" si="19"/>
        <v>30</v>
      </c>
      <c r="Q61" s="17">
        <f>IF($K61="","",$O61+COUNTIF($O$6:$O61,$O61)-1)</f>
        <v>56</v>
      </c>
    </row>
    <row r="62" spans="1:17" ht="15" customHeight="1" x14ac:dyDescent="0.3">
      <c r="A62" s="13">
        <f>IFERROR(MATCH(57,$Q$6:$Q$105,0),"")</f>
        <v>57</v>
      </c>
      <c r="B62" s="13" t="str">
        <f t="shared" si="10"/>
        <v>Jurgis Kazlauskas</v>
      </c>
      <c r="C62" s="13" t="str">
        <f t="shared" si="11"/>
        <v>Vilniaus Aeroklubas</v>
      </c>
      <c r="D62" s="13">
        <f t="shared" si="12"/>
        <v>23</v>
      </c>
      <c r="E62" s="16">
        <f t="shared" si="13"/>
        <v>30</v>
      </c>
      <c r="F62" s="30">
        <f t="shared" si="14"/>
        <v>7</v>
      </c>
      <c r="G62" s="14">
        <f t="shared" si="15"/>
        <v>0</v>
      </c>
      <c r="H62" s="14">
        <f t="shared" si="16"/>
        <v>0</v>
      </c>
      <c r="I62" s="31">
        <f t="shared" si="17"/>
        <v>0</v>
      </c>
      <c r="K62" s="17" t="str">
        <f>IF(Pilotai!B58="","",Pilotai!B58)</f>
        <v>Jurgis Kazlauskas</v>
      </c>
      <c r="L62" s="17" t="str">
        <f>IF($K62="","",Pilotai!C58)</f>
        <v>Vilniaus Aeroklubas</v>
      </c>
      <c r="M62" s="18">
        <f>IF($K62="","",IFERROR(INDEX(Reitingai!$G$6:$G$105,MATCH($K62,Reitingai!$B$6:$B$105,0)),0))</f>
        <v>0</v>
      </c>
      <c r="N62" s="18">
        <f>IF($K62="","",SUM((SUMIFS(Rezultatai!$J$2:$J$500,Rezultatai!$B$2:$B$500,$K62,Rezultatai!$A$2:$A$500,((Reitingai!$C$2-1)-2),Rezultatai!$D$2:$D$500,"&lt;&gt;Papildomi (R+)")+MIN(SUMIFS(Rezultatai!$J$2:$J$500,Rezultatai!$B$2:$B$500,$K62,Rezultatai!$A$2:$A$500,((Reitingai!$C$2-1)-2),Rezultatai!$D$2:$D$500,"Papildomi (R+)"),0.15*(SUMIFS(Rezultatai!$J$2:$J$500,Rezultatai!$B$2:$B$500,$K62,Rezultatai!$A$2:$A$500,((Reitingai!$C$2-1)-2),Rezultatai!$D$2:$D$500,"&lt;&gt;Papildomi (R+)"))))*MIN(425,375+(1/70)*(SUMIFS(Parametrai!$B$2:$B$40,Parametrai!$A$2:$A$40,((Reitingai!$C$2-1)-2))-2500)),(SUMIFS(Rezultatai!$J$2:$J$500,Rezultatai!$B$2:$B$500,$K62,Rezultatai!$A$2:$A$500,((Reitingai!$C$2-1)-1),Rezultatai!$D$2:$D$500,"&lt;&gt;Papildomi (R+)")+MIN(SUMIFS(Rezultatai!$J$2:$J$500,Rezultatai!$B$2:$B$500,$K62,Rezultatai!$A$2:$A$500,((Reitingai!$C$2-1)-1),Rezultatai!$D$2:$D$500,"Papildomi (R+)"),0.15*(SUMIFS(Rezultatai!$J$2:$J$500,Rezultatai!$B$2:$B$500,$K62,Rezultatai!$A$2:$A$500,((Reitingai!$C$2-1)-1),Rezultatai!$D$2:$D$500,"&lt;&gt;Papildomi (R+)"))))*MIN(450,400+(1/70)*(SUMIFS(Parametrai!$B$2:$B$40,Parametrai!$A$2:$A$40,((Reitingai!$C$2-1)-1))-2500)),(SUMIFS(Rezultatai!$J$2:$J$500,Rezultatai!$B$2:$B$500,$K62,Rezultatai!$A$2:$A$500,(Reitingai!$C$2-1),Rezultatai!$D$2:$D$500,"&lt;&gt;Papildomi (R+)")+MIN(SUMIFS(Rezultatai!$J$2:$J$500,Rezultatai!$B$2:$B$500,$K62,Rezultatai!$A$2:$A$500,(Reitingai!$C$2-1),Rezultatai!$D$2:$D$500,"Papildomi (R+)"),0.15*(SUMIFS(Rezultatai!$J$2:$J$500,Rezultatai!$B$2:$B$500,$K62,Rezultatai!$A$2:$A$500,(Reitingai!$C$2-1),Rezultatai!$D$2:$D$500,"&lt;&gt;Papildomi (R+)"))))*MIN(550,450+(1/35)*(SUMIFS(Parametrai!$B$2:$B$40,Parametrai!$A$2:$A$40,(Reitingai!$C$2-1))-2500)))-MIN((SUMIFS(Rezultatai!$J$2:$J$500,Rezultatai!$B$2:$B$500,$K62,Rezultatai!$A$2:$A$500,((Reitingai!$C$2-1)-2),Rezultatai!$D$2:$D$500,"&lt;&gt;Papildomi (R+)")+MIN(SUMIFS(Rezultatai!$J$2:$J$500,Rezultatai!$B$2:$B$500,$K62,Rezultatai!$A$2:$A$500,((Reitingai!$C$2-1)-2),Rezultatai!$D$2:$D$500,"Papildomi (R+)"),0.15*(SUMIFS(Rezultatai!$J$2:$J$500,Rezultatai!$B$2:$B$500,$K62,Rezultatai!$A$2:$A$500,((Reitingai!$C$2-1)-2),Rezultatai!$D$2:$D$500,"&lt;&gt;Papildomi (R+)"))))*MIN(425,375+(1/70)*(SUMIFS(Parametrai!$B$2:$B$40,Parametrai!$A$2:$A$40,((Reitingai!$C$2-1)-2))-2500)),(SUMIFS(Rezultatai!$J$2:$J$500,Rezultatai!$B$2:$B$500,$K62,Rezultatai!$A$2:$A$500,((Reitingai!$C$2-1)-1),Rezultatai!$D$2:$D$500,"&lt;&gt;Papildomi (R+)")+MIN(SUMIFS(Rezultatai!$J$2:$J$500,Rezultatai!$B$2:$B$500,$K62,Rezultatai!$A$2:$A$500,((Reitingai!$C$2-1)-1),Rezultatai!$D$2:$D$500,"Papildomi (R+)"),0.15*(SUMIFS(Rezultatai!$J$2:$J$500,Rezultatai!$B$2:$B$500,$K62,Rezultatai!$A$2:$A$500,((Reitingai!$C$2-1)-1),Rezultatai!$D$2:$D$500,"&lt;&gt;Papildomi (R+)"))))*MIN(450,400+(1/70)*(SUMIFS(Parametrai!$B$2:$B$40,Parametrai!$A$2:$A$40,((Reitingai!$C$2-1)-1))-2500)),(SUMIFS(Rezultatai!$J$2:$J$500,Rezultatai!$B$2:$B$500,$K62,Rezultatai!$A$2:$A$500,(Reitingai!$C$2-1),Rezultatai!$D$2:$D$500,"&lt;&gt;Papildomi (R+)")+MIN(SUMIFS(Rezultatai!$J$2:$J$500,Rezultatai!$B$2:$B$500,$K62,Rezultatai!$A$2:$A$500,(Reitingai!$C$2-1),Rezultatai!$D$2:$D$500,"Papildomi (R+)"),0.15*(SUMIFS(Rezultatai!$J$2:$J$500,Rezultatai!$B$2:$B$500,$K62,Rezultatai!$A$2:$A$500,(Reitingai!$C$2-1),Rezultatai!$D$2:$D$500,"&lt;&gt;Papildomi (R+)"))))*MIN(550,450+(1/35)*(SUMIFS(Parametrai!$B$2:$B$40,Parametrai!$A$2:$A$40,(Reitingai!$C$2-1))-2500))))</f>
        <v>0</v>
      </c>
      <c r="O62" s="17">
        <f t="shared" si="18"/>
        <v>23</v>
      </c>
      <c r="P62" s="17">
        <f t="shared" si="19"/>
        <v>30</v>
      </c>
      <c r="Q62" s="17">
        <f>IF($K62="","",$O62+COUNTIF($O$6:$O62,$O62)-1)</f>
        <v>57</v>
      </c>
    </row>
    <row r="63" spans="1:17" ht="15" customHeight="1" x14ac:dyDescent="0.3">
      <c r="A63" s="13">
        <f>IFERROR(MATCH(58,$Q$6:$Q$105,0),"")</f>
        <v>58</v>
      </c>
      <c r="B63" s="13" t="str">
        <f t="shared" si="10"/>
        <v>Linas Zubė</v>
      </c>
      <c r="C63" s="13" t="str">
        <f t="shared" si="11"/>
        <v>Pamario Sklandytojų Klubas</v>
      </c>
      <c r="D63" s="13">
        <f t="shared" si="12"/>
        <v>23</v>
      </c>
      <c r="E63" s="16">
        <f t="shared" si="13"/>
        <v>30</v>
      </c>
      <c r="F63" s="30">
        <f t="shared" si="14"/>
        <v>7</v>
      </c>
      <c r="G63" s="14">
        <f t="shared" si="15"/>
        <v>0</v>
      </c>
      <c r="H63" s="14">
        <f t="shared" si="16"/>
        <v>0</v>
      </c>
      <c r="I63" s="31">
        <f t="shared" si="17"/>
        <v>0</v>
      </c>
      <c r="K63" s="17" t="str">
        <f>IF(Pilotai!B59="","",Pilotai!B59)</f>
        <v>Linas Zubė</v>
      </c>
      <c r="L63" s="17" t="str">
        <f>IF($K63="","",Pilotai!C59)</f>
        <v>Pamario Sklandytojų Klubas</v>
      </c>
      <c r="M63" s="18">
        <f>IF($K63="","",IFERROR(INDEX(Reitingai!$G$6:$G$105,MATCH($K63,Reitingai!$B$6:$B$105,0)),0))</f>
        <v>0</v>
      </c>
      <c r="N63" s="18">
        <f>IF($K63="","",SUM((SUMIFS(Rezultatai!$J$2:$J$500,Rezultatai!$B$2:$B$500,$K63,Rezultatai!$A$2:$A$500,((Reitingai!$C$2-1)-2),Rezultatai!$D$2:$D$500,"&lt;&gt;Papildomi (R+)")+MIN(SUMIFS(Rezultatai!$J$2:$J$500,Rezultatai!$B$2:$B$500,$K63,Rezultatai!$A$2:$A$500,((Reitingai!$C$2-1)-2),Rezultatai!$D$2:$D$500,"Papildomi (R+)"),0.15*(SUMIFS(Rezultatai!$J$2:$J$500,Rezultatai!$B$2:$B$500,$K63,Rezultatai!$A$2:$A$500,((Reitingai!$C$2-1)-2),Rezultatai!$D$2:$D$500,"&lt;&gt;Papildomi (R+)"))))*MIN(425,375+(1/70)*(SUMIFS(Parametrai!$B$2:$B$40,Parametrai!$A$2:$A$40,((Reitingai!$C$2-1)-2))-2500)),(SUMIFS(Rezultatai!$J$2:$J$500,Rezultatai!$B$2:$B$500,$K63,Rezultatai!$A$2:$A$500,((Reitingai!$C$2-1)-1),Rezultatai!$D$2:$D$500,"&lt;&gt;Papildomi (R+)")+MIN(SUMIFS(Rezultatai!$J$2:$J$500,Rezultatai!$B$2:$B$500,$K63,Rezultatai!$A$2:$A$500,((Reitingai!$C$2-1)-1),Rezultatai!$D$2:$D$500,"Papildomi (R+)"),0.15*(SUMIFS(Rezultatai!$J$2:$J$500,Rezultatai!$B$2:$B$500,$K63,Rezultatai!$A$2:$A$500,((Reitingai!$C$2-1)-1),Rezultatai!$D$2:$D$500,"&lt;&gt;Papildomi (R+)"))))*MIN(450,400+(1/70)*(SUMIFS(Parametrai!$B$2:$B$40,Parametrai!$A$2:$A$40,((Reitingai!$C$2-1)-1))-2500)),(SUMIFS(Rezultatai!$J$2:$J$500,Rezultatai!$B$2:$B$500,$K63,Rezultatai!$A$2:$A$500,(Reitingai!$C$2-1),Rezultatai!$D$2:$D$500,"&lt;&gt;Papildomi (R+)")+MIN(SUMIFS(Rezultatai!$J$2:$J$500,Rezultatai!$B$2:$B$500,$K63,Rezultatai!$A$2:$A$500,(Reitingai!$C$2-1),Rezultatai!$D$2:$D$500,"Papildomi (R+)"),0.15*(SUMIFS(Rezultatai!$J$2:$J$500,Rezultatai!$B$2:$B$500,$K63,Rezultatai!$A$2:$A$500,(Reitingai!$C$2-1),Rezultatai!$D$2:$D$500,"&lt;&gt;Papildomi (R+)"))))*MIN(550,450+(1/35)*(SUMIFS(Parametrai!$B$2:$B$40,Parametrai!$A$2:$A$40,(Reitingai!$C$2-1))-2500)))-MIN((SUMIFS(Rezultatai!$J$2:$J$500,Rezultatai!$B$2:$B$500,$K63,Rezultatai!$A$2:$A$500,((Reitingai!$C$2-1)-2),Rezultatai!$D$2:$D$500,"&lt;&gt;Papildomi (R+)")+MIN(SUMIFS(Rezultatai!$J$2:$J$500,Rezultatai!$B$2:$B$500,$K63,Rezultatai!$A$2:$A$500,((Reitingai!$C$2-1)-2),Rezultatai!$D$2:$D$500,"Papildomi (R+)"),0.15*(SUMIFS(Rezultatai!$J$2:$J$500,Rezultatai!$B$2:$B$500,$K63,Rezultatai!$A$2:$A$500,((Reitingai!$C$2-1)-2),Rezultatai!$D$2:$D$500,"&lt;&gt;Papildomi (R+)"))))*MIN(425,375+(1/70)*(SUMIFS(Parametrai!$B$2:$B$40,Parametrai!$A$2:$A$40,((Reitingai!$C$2-1)-2))-2500)),(SUMIFS(Rezultatai!$J$2:$J$500,Rezultatai!$B$2:$B$500,$K63,Rezultatai!$A$2:$A$500,((Reitingai!$C$2-1)-1),Rezultatai!$D$2:$D$500,"&lt;&gt;Papildomi (R+)")+MIN(SUMIFS(Rezultatai!$J$2:$J$500,Rezultatai!$B$2:$B$500,$K63,Rezultatai!$A$2:$A$500,((Reitingai!$C$2-1)-1),Rezultatai!$D$2:$D$500,"Papildomi (R+)"),0.15*(SUMIFS(Rezultatai!$J$2:$J$500,Rezultatai!$B$2:$B$500,$K63,Rezultatai!$A$2:$A$500,((Reitingai!$C$2-1)-1),Rezultatai!$D$2:$D$500,"&lt;&gt;Papildomi (R+)"))))*MIN(450,400+(1/70)*(SUMIFS(Parametrai!$B$2:$B$40,Parametrai!$A$2:$A$40,((Reitingai!$C$2-1)-1))-2500)),(SUMIFS(Rezultatai!$J$2:$J$500,Rezultatai!$B$2:$B$500,$K63,Rezultatai!$A$2:$A$500,(Reitingai!$C$2-1),Rezultatai!$D$2:$D$500,"&lt;&gt;Papildomi (R+)")+MIN(SUMIFS(Rezultatai!$J$2:$J$500,Rezultatai!$B$2:$B$500,$K63,Rezultatai!$A$2:$A$500,(Reitingai!$C$2-1),Rezultatai!$D$2:$D$500,"Papildomi (R+)"),0.15*(SUMIFS(Rezultatai!$J$2:$J$500,Rezultatai!$B$2:$B$500,$K63,Rezultatai!$A$2:$A$500,(Reitingai!$C$2-1),Rezultatai!$D$2:$D$500,"&lt;&gt;Papildomi (R+)"))))*MIN(550,450+(1/35)*(SUMIFS(Parametrai!$B$2:$B$40,Parametrai!$A$2:$A$40,(Reitingai!$C$2-1))-2500))))</f>
        <v>0</v>
      </c>
      <c r="O63" s="17">
        <f t="shared" si="18"/>
        <v>23</v>
      </c>
      <c r="P63" s="17">
        <f t="shared" si="19"/>
        <v>30</v>
      </c>
      <c r="Q63" s="17">
        <f>IF($K63="","",$O63+COUNTIF($O$6:$O63,$O63)-1)</f>
        <v>58</v>
      </c>
    </row>
    <row r="64" spans="1:17" ht="15" customHeight="1" x14ac:dyDescent="0.3">
      <c r="A64" s="13">
        <f>IFERROR(MATCH(59,$Q$6:$Q$105,0),"")</f>
        <v>59</v>
      </c>
      <c r="B64" s="13" t="str">
        <f t="shared" si="10"/>
        <v>Mantas Binkis</v>
      </c>
      <c r="C64" s="13" t="str">
        <f t="shared" si="11"/>
        <v>Biržų Aeroklubas</v>
      </c>
      <c r="D64" s="13">
        <f t="shared" si="12"/>
        <v>23</v>
      </c>
      <c r="E64" s="16">
        <f t="shared" si="13"/>
        <v>30</v>
      </c>
      <c r="F64" s="30">
        <f t="shared" si="14"/>
        <v>7</v>
      </c>
      <c r="G64" s="14">
        <f t="shared" si="15"/>
        <v>0</v>
      </c>
      <c r="H64" s="14">
        <f t="shared" si="16"/>
        <v>0</v>
      </c>
      <c r="I64" s="31">
        <f t="shared" si="17"/>
        <v>0</v>
      </c>
      <c r="K64" s="17" t="str">
        <f>IF(Pilotai!B60="","",Pilotai!B60)</f>
        <v>Mantas Binkis</v>
      </c>
      <c r="L64" s="17" t="str">
        <f>IF($K64="","",Pilotai!C60)</f>
        <v>Biržų Aeroklubas</v>
      </c>
      <c r="M64" s="18">
        <f>IF($K64="","",IFERROR(INDEX(Reitingai!$G$6:$G$105,MATCH($K64,Reitingai!$B$6:$B$105,0)),0))</f>
        <v>0</v>
      </c>
      <c r="N64" s="18">
        <f>IF($K64="","",SUM((SUMIFS(Rezultatai!$J$2:$J$500,Rezultatai!$B$2:$B$500,$K64,Rezultatai!$A$2:$A$500,((Reitingai!$C$2-1)-2),Rezultatai!$D$2:$D$500,"&lt;&gt;Papildomi (R+)")+MIN(SUMIFS(Rezultatai!$J$2:$J$500,Rezultatai!$B$2:$B$500,$K64,Rezultatai!$A$2:$A$500,((Reitingai!$C$2-1)-2),Rezultatai!$D$2:$D$500,"Papildomi (R+)"),0.15*(SUMIFS(Rezultatai!$J$2:$J$500,Rezultatai!$B$2:$B$500,$K64,Rezultatai!$A$2:$A$500,((Reitingai!$C$2-1)-2),Rezultatai!$D$2:$D$500,"&lt;&gt;Papildomi (R+)"))))*MIN(425,375+(1/70)*(SUMIFS(Parametrai!$B$2:$B$40,Parametrai!$A$2:$A$40,((Reitingai!$C$2-1)-2))-2500)),(SUMIFS(Rezultatai!$J$2:$J$500,Rezultatai!$B$2:$B$500,$K64,Rezultatai!$A$2:$A$500,((Reitingai!$C$2-1)-1),Rezultatai!$D$2:$D$500,"&lt;&gt;Papildomi (R+)")+MIN(SUMIFS(Rezultatai!$J$2:$J$500,Rezultatai!$B$2:$B$500,$K64,Rezultatai!$A$2:$A$500,((Reitingai!$C$2-1)-1),Rezultatai!$D$2:$D$500,"Papildomi (R+)"),0.15*(SUMIFS(Rezultatai!$J$2:$J$500,Rezultatai!$B$2:$B$500,$K64,Rezultatai!$A$2:$A$500,((Reitingai!$C$2-1)-1),Rezultatai!$D$2:$D$500,"&lt;&gt;Papildomi (R+)"))))*MIN(450,400+(1/70)*(SUMIFS(Parametrai!$B$2:$B$40,Parametrai!$A$2:$A$40,((Reitingai!$C$2-1)-1))-2500)),(SUMIFS(Rezultatai!$J$2:$J$500,Rezultatai!$B$2:$B$500,$K64,Rezultatai!$A$2:$A$500,(Reitingai!$C$2-1),Rezultatai!$D$2:$D$500,"&lt;&gt;Papildomi (R+)")+MIN(SUMIFS(Rezultatai!$J$2:$J$500,Rezultatai!$B$2:$B$500,$K64,Rezultatai!$A$2:$A$500,(Reitingai!$C$2-1),Rezultatai!$D$2:$D$500,"Papildomi (R+)"),0.15*(SUMIFS(Rezultatai!$J$2:$J$500,Rezultatai!$B$2:$B$500,$K64,Rezultatai!$A$2:$A$500,(Reitingai!$C$2-1),Rezultatai!$D$2:$D$500,"&lt;&gt;Papildomi (R+)"))))*MIN(550,450+(1/35)*(SUMIFS(Parametrai!$B$2:$B$40,Parametrai!$A$2:$A$40,(Reitingai!$C$2-1))-2500)))-MIN((SUMIFS(Rezultatai!$J$2:$J$500,Rezultatai!$B$2:$B$500,$K64,Rezultatai!$A$2:$A$500,((Reitingai!$C$2-1)-2),Rezultatai!$D$2:$D$500,"&lt;&gt;Papildomi (R+)")+MIN(SUMIFS(Rezultatai!$J$2:$J$500,Rezultatai!$B$2:$B$500,$K64,Rezultatai!$A$2:$A$500,((Reitingai!$C$2-1)-2),Rezultatai!$D$2:$D$500,"Papildomi (R+)"),0.15*(SUMIFS(Rezultatai!$J$2:$J$500,Rezultatai!$B$2:$B$500,$K64,Rezultatai!$A$2:$A$500,((Reitingai!$C$2-1)-2),Rezultatai!$D$2:$D$500,"&lt;&gt;Papildomi (R+)"))))*MIN(425,375+(1/70)*(SUMIFS(Parametrai!$B$2:$B$40,Parametrai!$A$2:$A$40,((Reitingai!$C$2-1)-2))-2500)),(SUMIFS(Rezultatai!$J$2:$J$500,Rezultatai!$B$2:$B$500,$K64,Rezultatai!$A$2:$A$500,((Reitingai!$C$2-1)-1),Rezultatai!$D$2:$D$500,"&lt;&gt;Papildomi (R+)")+MIN(SUMIFS(Rezultatai!$J$2:$J$500,Rezultatai!$B$2:$B$500,$K64,Rezultatai!$A$2:$A$500,((Reitingai!$C$2-1)-1),Rezultatai!$D$2:$D$500,"Papildomi (R+)"),0.15*(SUMIFS(Rezultatai!$J$2:$J$500,Rezultatai!$B$2:$B$500,$K64,Rezultatai!$A$2:$A$500,((Reitingai!$C$2-1)-1),Rezultatai!$D$2:$D$500,"&lt;&gt;Papildomi (R+)"))))*MIN(450,400+(1/70)*(SUMIFS(Parametrai!$B$2:$B$40,Parametrai!$A$2:$A$40,((Reitingai!$C$2-1)-1))-2500)),(SUMIFS(Rezultatai!$J$2:$J$500,Rezultatai!$B$2:$B$500,$K64,Rezultatai!$A$2:$A$500,(Reitingai!$C$2-1),Rezultatai!$D$2:$D$500,"&lt;&gt;Papildomi (R+)")+MIN(SUMIFS(Rezultatai!$J$2:$J$500,Rezultatai!$B$2:$B$500,$K64,Rezultatai!$A$2:$A$500,(Reitingai!$C$2-1),Rezultatai!$D$2:$D$500,"Papildomi (R+)"),0.15*(SUMIFS(Rezultatai!$J$2:$J$500,Rezultatai!$B$2:$B$500,$K64,Rezultatai!$A$2:$A$500,(Reitingai!$C$2-1),Rezultatai!$D$2:$D$500,"&lt;&gt;Papildomi (R+)"))))*MIN(550,450+(1/35)*(SUMIFS(Parametrai!$B$2:$B$40,Parametrai!$A$2:$A$40,(Reitingai!$C$2-1))-2500))))</f>
        <v>0</v>
      </c>
      <c r="O64" s="17">
        <f t="shared" si="18"/>
        <v>23</v>
      </c>
      <c r="P64" s="17">
        <f t="shared" si="19"/>
        <v>30</v>
      </c>
      <c r="Q64" s="17">
        <f>IF($K64="","",$O64+COUNTIF($O$6:$O64,$O64)-1)</f>
        <v>59</v>
      </c>
    </row>
    <row r="65" spans="1:17" ht="15" customHeight="1" x14ac:dyDescent="0.3">
      <c r="A65" s="13">
        <f>IFERROR(MATCH(60,$Q$6:$Q$105,0),"")</f>
        <v>60</v>
      </c>
      <c r="B65" s="13" t="str">
        <f t="shared" si="10"/>
        <v>Marius Sargevičius</v>
      </c>
      <c r="C65" s="13" t="str">
        <f t="shared" si="11"/>
        <v>Kauno AASK</v>
      </c>
      <c r="D65" s="13">
        <f t="shared" si="12"/>
        <v>23</v>
      </c>
      <c r="E65" s="16">
        <f t="shared" si="13"/>
        <v>30</v>
      </c>
      <c r="F65" s="30">
        <f t="shared" si="14"/>
        <v>7</v>
      </c>
      <c r="G65" s="14">
        <f t="shared" si="15"/>
        <v>0</v>
      </c>
      <c r="H65" s="14">
        <f t="shared" si="16"/>
        <v>0</v>
      </c>
      <c r="I65" s="31">
        <f t="shared" si="17"/>
        <v>0</v>
      </c>
      <c r="K65" s="17" t="str">
        <f>IF(Pilotai!B61="","",Pilotai!B61)</f>
        <v>Marius Sargevičius</v>
      </c>
      <c r="L65" s="17" t="str">
        <f>IF($K65="","",Pilotai!C61)</f>
        <v>Kauno AASK</v>
      </c>
      <c r="M65" s="18">
        <f>IF($K65="","",IFERROR(INDEX(Reitingai!$G$6:$G$105,MATCH($K65,Reitingai!$B$6:$B$105,0)),0))</f>
        <v>0</v>
      </c>
      <c r="N65" s="18">
        <f>IF($K65="","",SUM((SUMIFS(Rezultatai!$J$2:$J$500,Rezultatai!$B$2:$B$500,$K65,Rezultatai!$A$2:$A$500,((Reitingai!$C$2-1)-2),Rezultatai!$D$2:$D$500,"&lt;&gt;Papildomi (R+)")+MIN(SUMIFS(Rezultatai!$J$2:$J$500,Rezultatai!$B$2:$B$500,$K65,Rezultatai!$A$2:$A$500,((Reitingai!$C$2-1)-2),Rezultatai!$D$2:$D$500,"Papildomi (R+)"),0.15*(SUMIFS(Rezultatai!$J$2:$J$500,Rezultatai!$B$2:$B$500,$K65,Rezultatai!$A$2:$A$500,((Reitingai!$C$2-1)-2),Rezultatai!$D$2:$D$500,"&lt;&gt;Papildomi (R+)"))))*MIN(425,375+(1/70)*(SUMIFS(Parametrai!$B$2:$B$40,Parametrai!$A$2:$A$40,((Reitingai!$C$2-1)-2))-2500)),(SUMIFS(Rezultatai!$J$2:$J$500,Rezultatai!$B$2:$B$500,$K65,Rezultatai!$A$2:$A$500,((Reitingai!$C$2-1)-1),Rezultatai!$D$2:$D$500,"&lt;&gt;Papildomi (R+)")+MIN(SUMIFS(Rezultatai!$J$2:$J$500,Rezultatai!$B$2:$B$500,$K65,Rezultatai!$A$2:$A$500,((Reitingai!$C$2-1)-1),Rezultatai!$D$2:$D$500,"Papildomi (R+)"),0.15*(SUMIFS(Rezultatai!$J$2:$J$500,Rezultatai!$B$2:$B$500,$K65,Rezultatai!$A$2:$A$500,((Reitingai!$C$2-1)-1),Rezultatai!$D$2:$D$500,"&lt;&gt;Papildomi (R+)"))))*MIN(450,400+(1/70)*(SUMIFS(Parametrai!$B$2:$B$40,Parametrai!$A$2:$A$40,((Reitingai!$C$2-1)-1))-2500)),(SUMIFS(Rezultatai!$J$2:$J$500,Rezultatai!$B$2:$B$500,$K65,Rezultatai!$A$2:$A$500,(Reitingai!$C$2-1),Rezultatai!$D$2:$D$500,"&lt;&gt;Papildomi (R+)")+MIN(SUMIFS(Rezultatai!$J$2:$J$500,Rezultatai!$B$2:$B$500,$K65,Rezultatai!$A$2:$A$500,(Reitingai!$C$2-1),Rezultatai!$D$2:$D$500,"Papildomi (R+)"),0.15*(SUMIFS(Rezultatai!$J$2:$J$500,Rezultatai!$B$2:$B$500,$K65,Rezultatai!$A$2:$A$500,(Reitingai!$C$2-1),Rezultatai!$D$2:$D$500,"&lt;&gt;Papildomi (R+)"))))*MIN(550,450+(1/35)*(SUMIFS(Parametrai!$B$2:$B$40,Parametrai!$A$2:$A$40,(Reitingai!$C$2-1))-2500)))-MIN((SUMIFS(Rezultatai!$J$2:$J$500,Rezultatai!$B$2:$B$500,$K65,Rezultatai!$A$2:$A$500,((Reitingai!$C$2-1)-2),Rezultatai!$D$2:$D$500,"&lt;&gt;Papildomi (R+)")+MIN(SUMIFS(Rezultatai!$J$2:$J$500,Rezultatai!$B$2:$B$500,$K65,Rezultatai!$A$2:$A$500,((Reitingai!$C$2-1)-2),Rezultatai!$D$2:$D$500,"Papildomi (R+)"),0.15*(SUMIFS(Rezultatai!$J$2:$J$500,Rezultatai!$B$2:$B$500,$K65,Rezultatai!$A$2:$A$500,((Reitingai!$C$2-1)-2),Rezultatai!$D$2:$D$500,"&lt;&gt;Papildomi (R+)"))))*MIN(425,375+(1/70)*(SUMIFS(Parametrai!$B$2:$B$40,Parametrai!$A$2:$A$40,((Reitingai!$C$2-1)-2))-2500)),(SUMIFS(Rezultatai!$J$2:$J$500,Rezultatai!$B$2:$B$500,$K65,Rezultatai!$A$2:$A$500,((Reitingai!$C$2-1)-1),Rezultatai!$D$2:$D$500,"&lt;&gt;Papildomi (R+)")+MIN(SUMIFS(Rezultatai!$J$2:$J$500,Rezultatai!$B$2:$B$500,$K65,Rezultatai!$A$2:$A$500,((Reitingai!$C$2-1)-1),Rezultatai!$D$2:$D$500,"Papildomi (R+)"),0.15*(SUMIFS(Rezultatai!$J$2:$J$500,Rezultatai!$B$2:$B$500,$K65,Rezultatai!$A$2:$A$500,((Reitingai!$C$2-1)-1),Rezultatai!$D$2:$D$500,"&lt;&gt;Papildomi (R+)"))))*MIN(450,400+(1/70)*(SUMIFS(Parametrai!$B$2:$B$40,Parametrai!$A$2:$A$40,((Reitingai!$C$2-1)-1))-2500)),(SUMIFS(Rezultatai!$J$2:$J$500,Rezultatai!$B$2:$B$500,$K65,Rezultatai!$A$2:$A$500,(Reitingai!$C$2-1),Rezultatai!$D$2:$D$500,"&lt;&gt;Papildomi (R+)")+MIN(SUMIFS(Rezultatai!$J$2:$J$500,Rezultatai!$B$2:$B$500,$K65,Rezultatai!$A$2:$A$500,(Reitingai!$C$2-1),Rezultatai!$D$2:$D$500,"Papildomi (R+)"),0.15*(SUMIFS(Rezultatai!$J$2:$J$500,Rezultatai!$B$2:$B$500,$K65,Rezultatai!$A$2:$A$500,(Reitingai!$C$2-1),Rezultatai!$D$2:$D$500,"&lt;&gt;Papildomi (R+)"))))*MIN(550,450+(1/35)*(SUMIFS(Parametrai!$B$2:$B$40,Parametrai!$A$2:$A$40,(Reitingai!$C$2-1))-2500))))</f>
        <v>0</v>
      </c>
      <c r="O65" s="17">
        <f t="shared" si="18"/>
        <v>23</v>
      </c>
      <c r="P65" s="17">
        <f t="shared" si="19"/>
        <v>30</v>
      </c>
      <c r="Q65" s="17">
        <f>IF($K65="","",$O65+COUNTIF($O$6:$O65,$O65)-1)</f>
        <v>60</v>
      </c>
    </row>
    <row r="66" spans="1:17" ht="15" customHeight="1" x14ac:dyDescent="0.3">
      <c r="A66" s="13">
        <f>IFERROR(MATCH(61,$Q$6:$Q$105,0),"")</f>
        <v>61</v>
      </c>
      <c r="B66" s="13" t="str">
        <f t="shared" si="10"/>
        <v>Martynas Liutkevicius</v>
      </c>
      <c r="C66" s="13" t="str">
        <f t="shared" si="11"/>
        <v>Kauno AASK</v>
      </c>
      <c r="D66" s="13">
        <f t="shared" si="12"/>
        <v>23</v>
      </c>
      <c r="E66" s="16">
        <f t="shared" si="13"/>
        <v>30</v>
      </c>
      <c r="F66" s="30">
        <f t="shared" si="14"/>
        <v>7</v>
      </c>
      <c r="G66" s="14">
        <f t="shared" si="15"/>
        <v>0</v>
      </c>
      <c r="H66" s="14">
        <f t="shared" si="16"/>
        <v>0</v>
      </c>
      <c r="I66" s="31">
        <f t="shared" si="17"/>
        <v>0</v>
      </c>
      <c r="K66" s="17" t="str">
        <f>IF(Pilotai!B62="","",Pilotai!B62)</f>
        <v>Martynas Liutkevicius</v>
      </c>
      <c r="L66" s="17" t="str">
        <f>IF($K66="","",Pilotai!C62)</f>
        <v>Kauno AASK</v>
      </c>
      <c r="M66" s="18">
        <f>IF($K66="","",IFERROR(INDEX(Reitingai!$G$6:$G$105,MATCH($K66,Reitingai!$B$6:$B$105,0)),0))</f>
        <v>0</v>
      </c>
      <c r="N66" s="18">
        <f>IF($K66="","",SUM((SUMIFS(Rezultatai!$J$2:$J$500,Rezultatai!$B$2:$B$500,$K66,Rezultatai!$A$2:$A$500,((Reitingai!$C$2-1)-2),Rezultatai!$D$2:$D$500,"&lt;&gt;Papildomi (R+)")+MIN(SUMIFS(Rezultatai!$J$2:$J$500,Rezultatai!$B$2:$B$500,$K66,Rezultatai!$A$2:$A$500,((Reitingai!$C$2-1)-2),Rezultatai!$D$2:$D$500,"Papildomi (R+)"),0.15*(SUMIFS(Rezultatai!$J$2:$J$500,Rezultatai!$B$2:$B$500,$K66,Rezultatai!$A$2:$A$500,((Reitingai!$C$2-1)-2),Rezultatai!$D$2:$D$500,"&lt;&gt;Papildomi (R+)"))))*MIN(425,375+(1/70)*(SUMIFS(Parametrai!$B$2:$B$40,Parametrai!$A$2:$A$40,((Reitingai!$C$2-1)-2))-2500)),(SUMIFS(Rezultatai!$J$2:$J$500,Rezultatai!$B$2:$B$500,$K66,Rezultatai!$A$2:$A$500,((Reitingai!$C$2-1)-1),Rezultatai!$D$2:$D$500,"&lt;&gt;Papildomi (R+)")+MIN(SUMIFS(Rezultatai!$J$2:$J$500,Rezultatai!$B$2:$B$500,$K66,Rezultatai!$A$2:$A$500,((Reitingai!$C$2-1)-1),Rezultatai!$D$2:$D$500,"Papildomi (R+)"),0.15*(SUMIFS(Rezultatai!$J$2:$J$500,Rezultatai!$B$2:$B$500,$K66,Rezultatai!$A$2:$A$500,((Reitingai!$C$2-1)-1),Rezultatai!$D$2:$D$500,"&lt;&gt;Papildomi (R+)"))))*MIN(450,400+(1/70)*(SUMIFS(Parametrai!$B$2:$B$40,Parametrai!$A$2:$A$40,((Reitingai!$C$2-1)-1))-2500)),(SUMIFS(Rezultatai!$J$2:$J$500,Rezultatai!$B$2:$B$500,$K66,Rezultatai!$A$2:$A$500,(Reitingai!$C$2-1),Rezultatai!$D$2:$D$500,"&lt;&gt;Papildomi (R+)")+MIN(SUMIFS(Rezultatai!$J$2:$J$500,Rezultatai!$B$2:$B$500,$K66,Rezultatai!$A$2:$A$500,(Reitingai!$C$2-1),Rezultatai!$D$2:$D$500,"Papildomi (R+)"),0.15*(SUMIFS(Rezultatai!$J$2:$J$500,Rezultatai!$B$2:$B$500,$K66,Rezultatai!$A$2:$A$500,(Reitingai!$C$2-1),Rezultatai!$D$2:$D$500,"&lt;&gt;Papildomi (R+)"))))*MIN(550,450+(1/35)*(SUMIFS(Parametrai!$B$2:$B$40,Parametrai!$A$2:$A$40,(Reitingai!$C$2-1))-2500)))-MIN((SUMIFS(Rezultatai!$J$2:$J$500,Rezultatai!$B$2:$B$500,$K66,Rezultatai!$A$2:$A$500,((Reitingai!$C$2-1)-2),Rezultatai!$D$2:$D$500,"&lt;&gt;Papildomi (R+)")+MIN(SUMIFS(Rezultatai!$J$2:$J$500,Rezultatai!$B$2:$B$500,$K66,Rezultatai!$A$2:$A$500,((Reitingai!$C$2-1)-2),Rezultatai!$D$2:$D$500,"Papildomi (R+)"),0.15*(SUMIFS(Rezultatai!$J$2:$J$500,Rezultatai!$B$2:$B$500,$K66,Rezultatai!$A$2:$A$500,((Reitingai!$C$2-1)-2),Rezultatai!$D$2:$D$500,"&lt;&gt;Papildomi (R+)"))))*MIN(425,375+(1/70)*(SUMIFS(Parametrai!$B$2:$B$40,Parametrai!$A$2:$A$40,((Reitingai!$C$2-1)-2))-2500)),(SUMIFS(Rezultatai!$J$2:$J$500,Rezultatai!$B$2:$B$500,$K66,Rezultatai!$A$2:$A$500,((Reitingai!$C$2-1)-1),Rezultatai!$D$2:$D$500,"&lt;&gt;Papildomi (R+)")+MIN(SUMIFS(Rezultatai!$J$2:$J$500,Rezultatai!$B$2:$B$500,$K66,Rezultatai!$A$2:$A$500,((Reitingai!$C$2-1)-1),Rezultatai!$D$2:$D$500,"Papildomi (R+)"),0.15*(SUMIFS(Rezultatai!$J$2:$J$500,Rezultatai!$B$2:$B$500,$K66,Rezultatai!$A$2:$A$500,((Reitingai!$C$2-1)-1),Rezultatai!$D$2:$D$500,"&lt;&gt;Papildomi (R+)"))))*MIN(450,400+(1/70)*(SUMIFS(Parametrai!$B$2:$B$40,Parametrai!$A$2:$A$40,((Reitingai!$C$2-1)-1))-2500)),(SUMIFS(Rezultatai!$J$2:$J$500,Rezultatai!$B$2:$B$500,$K66,Rezultatai!$A$2:$A$500,(Reitingai!$C$2-1),Rezultatai!$D$2:$D$500,"&lt;&gt;Papildomi (R+)")+MIN(SUMIFS(Rezultatai!$J$2:$J$500,Rezultatai!$B$2:$B$500,$K66,Rezultatai!$A$2:$A$500,(Reitingai!$C$2-1),Rezultatai!$D$2:$D$500,"Papildomi (R+)"),0.15*(SUMIFS(Rezultatai!$J$2:$J$500,Rezultatai!$B$2:$B$500,$K66,Rezultatai!$A$2:$A$500,(Reitingai!$C$2-1),Rezultatai!$D$2:$D$500,"&lt;&gt;Papildomi (R+)"))))*MIN(550,450+(1/35)*(SUMIFS(Parametrai!$B$2:$B$40,Parametrai!$A$2:$A$40,(Reitingai!$C$2-1))-2500))))</f>
        <v>0</v>
      </c>
      <c r="O66" s="17">
        <f t="shared" si="18"/>
        <v>23</v>
      </c>
      <c r="P66" s="17">
        <f t="shared" si="19"/>
        <v>30</v>
      </c>
      <c r="Q66" s="17">
        <f>IF($K66="","",$O66+COUNTIF($O$6:$O66,$O66)-1)</f>
        <v>61</v>
      </c>
    </row>
    <row r="67" spans="1:17" ht="15" customHeight="1" x14ac:dyDescent="0.3">
      <c r="A67" s="13">
        <f>IFERROR(MATCH(62,$Q$6:$Q$105,0),"")</f>
        <v>62</v>
      </c>
      <c r="B67" s="13" t="str">
        <f t="shared" si="10"/>
        <v>Mindaugas Milasauskas</v>
      </c>
      <c r="C67" s="13" t="str">
        <f t="shared" si="11"/>
        <v>Vilniaus Aeroklubas</v>
      </c>
      <c r="D67" s="13">
        <f t="shared" si="12"/>
        <v>23</v>
      </c>
      <c r="E67" s="16">
        <f t="shared" si="13"/>
        <v>30</v>
      </c>
      <c r="F67" s="30">
        <f t="shared" si="14"/>
        <v>7</v>
      </c>
      <c r="G67" s="14">
        <f t="shared" si="15"/>
        <v>0</v>
      </c>
      <c r="H67" s="14">
        <f t="shared" si="16"/>
        <v>0</v>
      </c>
      <c r="I67" s="31">
        <f t="shared" si="17"/>
        <v>0</v>
      </c>
      <c r="K67" s="17" t="str">
        <f>IF(Pilotai!B63="","",Pilotai!B63)</f>
        <v>Mindaugas Milasauskas</v>
      </c>
      <c r="L67" s="17" t="str">
        <f>IF($K67="","",Pilotai!C63)</f>
        <v>Vilniaus Aeroklubas</v>
      </c>
      <c r="M67" s="18">
        <f>IF($K67="","",IFERROR(INDEX(Reitingai!$G$6:$G$105,MATCH($K67,Reitingai!$B$6:$B$105,0)),0))</f>
        <v>0</v>
      </c>
      <c r="N67" s="18">
        <f>IF($K67="","",SUM((SUMIFS(Rezultatai!$J$2:$J$500,Rezultatai!$B$2:$B$500,$K67,Rezultatai!$A$2:$A$500,((Reitingai!$C$2-1)-2),Rezultatai!$D$2:$D$500,"&lt;&gt;Papildomi (R+)")+MIN(SUMIFS(Rezultatai!$J$2:$J$500,Rezultatai!$B$2:$B$500,$K67,Rezultatai!$A$2:$A$500,((Reitingai!$C$2-1)-2),Rezultatai!$D$2:$D$500,"Papildomi (R+)"),0.15*(SUMIFS(Rezultatai!$J$2:$J$500,Rezultatai!$B$2:$B$500,$K67,Rezultatai!$A$2:$A$500,((Reitingai!$C$2-1)-2),Rezultatai!$D$2:$D$500,"&lt;&gt;Papildomi (R+)"))))*MIN(425,375+(1/70)*(SUMIFS(Parametrai!$B$2:$B$40,Parametrai!$A$2:$A$40,((Reitingai!$C$2-1)-2))-2500)),(SUMIFS(Rezultatai!$J$2:$J$500,Rezultatai!$B$2:$B$500,$K67,Rezultatai!$A$2:$A$500,((Reitingai!$C$2-1)-1),Rezultatai!$D$2:$D$500,"&lt;&gt;Papildomi (R+)")+MIN(SUMIFS(Rezultatai!$J$2:$J$500,Rezultatai!$B$2:$B$500,$K67,Rezultatai!$A$2:$A$500,((Reitingai!$C$2-1)-1),Rezultatai!$D$2:$D$500,"Papildomi (R+)"),0.15*(SUMIFS(Rezultatai!$J$2:$J$500,Rezultatai!$B$2:$B$500,$K67,Rezultatai!$A$2:$A$500,((Reitingai!$C$2-1)-1),Rezultatai!$D$2:$D$500,"&lt;&gt;Papildomi (R+)"))))*MIN(450,400+(1/70)*(SUMIFS(Parametrai!$B$2:$B$40,Parametrai!$A$2:$A$40,((Reitingai!$C$2-1)-1))-2500)),(SUMIFS(Rezultatai!$J$2:$J$500,Rezultatai!$B$2:$B$500,$K67,Rezultatai!$A$2:$A$500,(Reitingai!$C$2-1),Rezultatai!$D$2:$D$500,"&lt;&gt;Papildomi (R+)")+MIN(SUMIFS(Rezultatai!$J$2:$J$500,Rezultatai!$B$2:$B$500,$K67,Rezultatai!$A$2:$A$500,(Reitingai!$C$2-1),Rezultatai!$D$2:$D$500,"Papildomi (R+)"),0.15*(SUMIFS(Rezultatai!$J$2:$J$500,Rezultatai!$B$2:$B$500,$K67,Rezultatai!$A$2:$A$500,(Reitingai!$C$2-1),Rezultatai!$D$2:$D$500,"&lt;&gt;Papildomi (R+)"))))*MIN(550,450+(1/35)*(SUMIFS(Parametrai!$B$2:$B$40,Parametrai!$A$2:$A$40,(Reitingai!$C$2-1))-2500)))-MIN((SUMIFS(Rezultatai!$J$2:$J$500,Rezultatai!$B$2:$B$500,$K67,Rezultatai!$A$2:$A$500,((Reitingai!$C$2-1)-2),Rezultatai!$D$2:$D$500,"&lt;&gt;Papildomi (R+)")+MIN(SUMIFS(Rezultatai!$J$2:$J$500,Rezultatai!$B$2:$B$500,$K67,Rezultatai!$A$2:$A$500,((Reitingai!$C$2-1)-2),Rezultatai!$D$2:$D$500,"Papildomi (R+)"),0.15*(SUMIFS(Rezultatai!$J$2:$J$500,Rezultatai!$B$2:$B$500,$K67,Rezultatai!$A$2:$A$500,((Reitingai!$C$2-1)-2),Rezultatai!$D$2:$D$500,"&lt;&gt;Papildomi (R+)"))))*MIN(425,375+(1/70)*(SUMIFS(Parametrai!$B$2:$B$40,Parametrai!$A$2:$A$40,((Reitingai!$C$2-1)-2))-2500)),(SUMIFS(Rezultatai!$J$2:$J$500,Rezultatai!$B$2:$B$500,$K67,Rezultatai!$A$2:$A$500,((Reitingai!$C$2-1)-1),Rezultatai!$D$2:$D$500,"&lt;&gt;Papildomi (R+)")+MIN(SUMIFS(Rezultatai!$J$2:$J$500,Rezultatai!$B$2:$B$500,$K67,Rezultatai!$A$2:$A$500,((Reitingai!$C$2-1)-1),Rezultatai!$D$2:$D$500,"Papildomi (R+)"),0.15*(SUMIFS(Rezultatai!$J$2:$J$500,Rezultatai!$B$2:$B$500,$K67,Rezultatai!$A$2:$A$500,((Reitingai!$C$2-1)-1),Rezultatai!$D$2:$D$500,"&lt;&gt;Papildomi (R+)"))))*MIN(450,400+(1/70)*(SUMIFS(Parametrai!$B$2:$B$40,Parametrai!$A$2:$A$40,((Reitingai!$C$2-1)-1))-2500)),(SUMIFS(Rezultatai!$J$2:$J$500,Rezultatai!$B$2:$B$500,$K67,Rezultatai!$A$2:$A$500,(Reitingai!$C$2-1),Rezultatai!$D$2:$D$500,"&lt;&gt;Papildomi (R+)")+MIN(SUMIFS(Rezultatai!$J$2:$J$500,Rezultatai!$B$2:$B$500,$K67,Rezultatai!$A$2:$A$500,(Reitingai!$C$2-1),Rezultatai!$D$2:$D$500,"Papildomi (R+)"),0.15*(SUMIFS(Rezultatai!$J$2:$J$500,Rezultatai!$B$2:$B$500,$K67,Rezultatai!$A$2:$A$500,(Reitingai!$C$2-1),Rezultatai!$D$2:$D$500,"&lt;&gt;Papildomi (R+)"))))*MIN(550,450+(1/35)*(SUMIFS(Parametrai!$B$2:$B$40,Parametrai!$A$2:$A$40,(Reitingai!$C$2-1))-2500))))</f>
        <v>0</v>
      </c>
      <c r="O67" s="17">
        <f t="shared" si="18"/>
        <v>23</v>
      </c>
      <c r="P67" s="17">
        <f t="shared" si="19"/>
        <v>30</v>
      </c>
      <c r="Q67" s="17">
        <f>IF($K67="","",$O67+COUNTIF($O$6:$O67,$O67)-1)</f>
        <v>62</v>
      </c>
    </row>
    <row r="68" spans="1:17" ht="15" customHeight="1" x14ac:dyDescent="0.3">
      <c r="A68" s="13">
        <f>IFERROR(MATCH(63,$Q$6:$Q$105,0),"")</f>
        <v>63</v>
      </c>
      <c r="B68" s="13" t="str">
        <f t="shared" si="10"/>
        <v>Robertas Venckus</v>
      </c>
      <c r="C68" s="13" t="str">
        <f t="shared" si="11"/>
        <v>Biržų Aeroklubas</v>
      </c>
      <c r="D68" s="13">
        <f t="shared" si="12"/>
        <v>23</v>
      </c>
      <c r="E68" s="16">
        <f t="shared" si="13"/>
        <v>30</v>
      </c>
      <c r="F68" s="30">
        <f t="shared" si="14"/>
        <v>7</v>
      </c>
      <c r="G68" s="14">
        <f t="shared" si="15"/>
        <v>0</v>
      </c>
      <c r="H68" s="14">
        <f t="shared" si="16"/>
        <v>0</v>
      </c>
      <c r="I68" s="31">
        <f t="shared" si="17"/>
        <v>0</v>
      </c>
      <c r="K68" s="17" t="str">
        <f>IF(Pilotai!B64="","",Pilotai!B64)</f>
        <v>Robertas Venckus</v>
      </c>
      <c r="L68" s="17" t="str">
        <f>IF($K68="","",Pilotai!C64)</f>
        <v>Biržų Aeroklubas</v>
      </c>
      <c r="M68" s="18">
        <f>IF($K68="","",IFERROR(INDEX(Reitingai!$G$6:$G$105,MATCH($K68,Reitingai!$B$6:$B$105,0)),0))</f>
        <v>0</v>
      </c>
      <c r="N68" s="18">
        <f>IF($K68="","",SUM((SUMIFS(Rezultatai!$J$2:$J$500,Rezultatai!$B$2:$B$500,$K68,Rezultatai!$A$2:$A$500,((Reitingai!$C$2-1)-2),Rezultatai!$D$2:$D$500,"&lt;&gt;Papildomi (R+)")+MIN(SUMIFS(Rezultatai!$J$2:$J$500,Rezultatai!$B$2:$B$500,$K68,Rezultatai!$A$2:$A$500,((Reitingai!$C$2-1)-2),Rezultatai!$D$2:$D$500,"Papildomi (R+)"),0.15*(SUMIFS(Rezultatai!$J$2:$J$500,Rezultatai!$B$2:$B$500,$K68,Rezultatai!$A$2:$A$500,((Reitingai!$C$2-1)-2),Rezultatai!$D$2:$D$500,"&lt;&gt;Papildomi (R+)"))))*MIN(425,375+(1/70)*(SUMIFS(Parametrai!$B$2:$B$40,Parametrai!$A$2:$A$40,((Reitingai!$C$2-1)-2))-2500)),(SUMIFS(Rezultatai!$J$2:$J$500,Rezultatai!$B$2:$B$500,$K68,Rezultatai!$A$2:$A$500,((Reitingai!$C$2-1)-1),Rezultatai!$D$2:$D$500,"&lt;&gt;Papildomi (R+)")+MIN(SUMIFS(Rezultatai!$J$2:$J$500,Rezultatai!$B$2:$B$500,$K68,Rezultatai!$A$2:$A$500,((Reitingai!$C$2-1)-1),Rezultatai!$D$2:$D$500,"Papildomi (R+)"),0.15*(SUMIFS(Rezultatai!$J$2:$J$500,Rezultatai!$B$2:$B$500,$K68,Rezultatai!$A$2:$A$500,((Reitingai!$C$2-1)-1),Rezultatai!$D$2:$D$500,"&lt;&gt;Papildomi (R+)"))))*MIN(450,400+(1/70)*(SUMIFS(Parametrai!$B$2:$B$40,Parametrai!$A$2:$A$40,((Reitingai!$C$2-1)-1))-2500)),(SUMIFS(Rezultatai!$J$2:$J$500,Rezultatai!$B$2:$B$500,$K68,Rezultatai!$A$2:$A$500,(Reitingai!$C$2-1),Rezultatai!$D$2:$D$500,"&lt;&gt;Papildomi (R+)")+MIN(SUMIFS(Rezultatai!$J$2:$J$500,Rezultatai!$B$2:$B$500,$K68,Rezultatai!$A$2:$A$500,(Reitingai!$C$2-1),Rezultatai!$D$2:$D$500,"Papildomi (R+)"),0.15*(SUMIFS(Rezultatai!$J$2:$J$500,Rezultatai!$B$2:$B$500,$K68,Rezultatai!$A$2:$A$500,(Reitingai!$C$2-1),Rezultatai!$D$2:$D$500,"&lt;&gt;Papildomi (R+)"))))*MIN(550,450+(1/35)*(SUMIFS(Parametrai!$B$2:$B$40,Parametrai!$A$2:$A$40,(Reitingai!$C$2-1))-2500)))-MIN((SUMIFS(Rezultatai!$J$2:$J$500,Rezultatai!$B$2:$B$500,$K68,Rezultatai!$A$2:$A$500,((Reitingai!$C$2-1)-2),Rezultatai!$D$2:$D$500,"&lt;&gt;Papildomi (R+)")+MIN(SUMIFS(Rezultatai!$J$2:$J$500,Rezultatai!$B$2:$B$500,$K68,Rezultatai!$A$2:$A$500,((Reitingai!$C$2-1)-2),Rezultatai!$D$2:$D$500,"Papildomi (R+)"),0.15*(SUMIFS(Rezultatai!$J$2:$J$500,Rezultatai!$B$2:$B$500,$K68,Rezultatai!$A$2:$A$500,((Reitingai!$C$2-1)-2),Rezultatai!$D$2:$D$500,"&lt;&gt;Papildomi (R+)"))))*MIN(425,375+(1/70)*(SUMIFS(Parametrai!$B$2:$B$40,Parametrai!$A$2:$A$40,((Reitingai!$C$2-1)-2))-2500)),(SUMIFS(Rezultatai!$J$2:$J$500,Rezultatai!$B$2:$B$500,$K68,Rezultatai!$A$2:$A$500,((Reitingai!$C$2-1)-1),Rezultatai!$D$2:$D$500,"&lt;&gt;Papildomi (R+)")+MIN(SUMIFS(Rezultatai!$J$2:$J$500,Rezultatai!$B$2:$B$500,$K68,Rezultatai!$A$2:$A$500,((Reitingai!$C$2-1)-1),Rezultatai!$D$2:$D$500,"Papildomi (R+)"),0.15*(SUMIFS(Rezultatai!$J$2:$J$500,Rezultatai!$B$2:$B$500,$K68,Rezultatai!$A$2:$A$500,((Reitingai!$C$2-1)-1),Rezultatai!$D$2:$D$500,"&lt;&gt;Papildomi (R+)"))))*MIN(450,400+(1/70)*(SUMIFS(Parametrai!$B$2:$B$40,Parametrai!$A$2:$A$40,((Reitingai!$C$2-1)-1))-2500)),(SUMIFS(Rezultatai!$J$2:$J$500,Rezultatai!$B$2:$B$500,$K68,Rezultatai!$A$2:$A$500,(Reitingai!$C$2-1),Rezultatai!$D$2:$D$500,"&lt;&gt;Papildomi (R+)")+MIN(SUMIFS(Rezultatai!$J$2:$J$500,Rezultatai!$B$2:$B$500,$K68,Rezultatai!$A$2:$A$500,(Reitingai!$C$2-1),Rezultatai!$D$2:$D$500,"Papildomi (R+)"),0.15*(SUMIFS(Rezultatai!$J$2:$J$500,Rezultatai!$B$2:$B$500,$K68,Rezultatai!$A$2:$A$500,(Reitingai!$C$2-1),Rezultatai!$D$2:$D$500,"&lt;&gt;Papildomi (R+)"))))*MIN(550,450+(1/35)*(SUMIFS(Parametrai!$B$2:$B$40,Parametrai!$A$2:$A$40,(Reitingai!$C$2-1))-2500))))</f>
        <v>0</v>
      </c>
      <c r="O68" s="17">
        <f t="shared" si="18"/>
        <v>23</v>
      </c>
      <c r="P68" s="17">
        <f t="shared" si="19"/>
        <v>30</v>
      </c>
      <c r="Q68" s="17">
        <f>IF($K68="","",$O68+COUNTIF($O$6:$O68,$O68)-1)</f>
        <v>63</v>
      </c>
    </row>
    <row r="69" spans="1:17" ht="15" customHeight="1" x14ac:dyDescent="0.3">
      <c r="A69" s="13">
        <f>IFERROR(MATCH(64,$Q$6:$Q$105,0),"")</f>
        <v>64</v>
      </c>
      <c r="B69" s="13" t="str">
        <f t="shared" si="10"/>
        <v>Rokas Jonaitis</v>
      </c>
      <c r="C69" s="13" t="str">
        <f t="shared" si="11"/>
        <v>Kauno AASK</v>
      </c>
      <c r="D69" s="13">
        <f t="shared" si="12"/>
        <v>23</v>
      </c>
      <c r="E69" s="16">
        <f t="shared" si="13"/>
        <v>30</v>
      </c>
      <c r="F69" s="30">
        <f t="shared" si="14"/>
        <v>7</v>
      </c>
      <c r="G69" s="14">
        <f t="shared" si="15"/>
        <v>0</v>
      </c>
      <c r="H69" s="14">
        <f t="shared" si="16"/>
        <v>0</v>
      </c>
      <c r="I69" s="31">
        <f t="shared" si="17"/>
        <v>0</v>
      </c>
      <c r="K69" s="17" t="str">
        <f>IF(Pilotai!B65="","",Pilotai!B65)</f>
        <v>Rokas Jonaitis</v>
      </c>
      <c r="L69" s="17" t="str">
        <f>IF($K69="","",Pilotai!C65)</f>
        <v>Kauno AASK</v>
      </c>
      <c r="M69" s="18">
        <f>IF($K69="","",IFERROR(INDEX(Reitingai!$G$6:$G$105,MATCH($K69,Reitingai!$B$6:$B$105,0)),0))</f>
        <v>0</v>
      </c>
      <c r="N69" s="18">
        <f>IF($K69="","",SUM((SUMIFS(Rezultatai!$J$2:$J$500,Rezultatai!$B$2:$B$500,$K69,Rezultatai!$A$2:$A$500,((Reitingai!$C$2-1)-2),Rezultatai!$D$2:$D$500,"&lt;&gt;Papildomi (R+)")+MIN(SUMIFS(Rezultatai!$J$2:$J$500,Rezultatai!$B$2:$B$500,$K69,Rezultatai!$A$2:$A$500,((Reitingai!$C$2-1)-2),Rezultatai!$D$2:$D$500,"Papildomi (R+)"),0.15*(SUMIFS(Rezultatai!$J$2:$J$500,Rezultatai!$B$2:$B$500,$K69,Rezultatai!$A$2:$A$500,((Reitingai!$C$2-1)-2),Rezultatai!$D$2:$D$500,"&lt;&gt;Papildomi (R+)"))))*MIN(425,375+(1/70)*(SUMIFS(Parametrai!$B$2:$B$40,Parametrai!$A$2:$A$40,((Reitingai!$C$2-1)-2))-2500)),(SUMIFS(Rezultatai!$J$2:$J$500,Rezultatai!$B$2:$B$500,$K69,Rezultatai!$A$2:$A$500,((Reitingai!$C$2-1)-1),Rezultatai!$D$2:$D$500,"&lt;&gt;Papildomi (R+)")+MIN(SUMIFS(Rezultatai!$J$2:$J$500,Rezultatai!$B$2:$B$500,$K69,Rezultatai!$A$2:$A$500,((Reitingai!$C$2-1)-1),Rezultatai!$D$2:$D$500,"Papildomi (R+)"),0.15*(SUMIFS(Rezultatai!$J$2:$J$500,Rezultatai!$B$2:$B$500,$K69,Rezultatai!$A$2:$A$500,((Reitingai!$C$2-1)-1),Rezultatai!$D$2:$D$500,"&lt;&gt;Papildomi (R+)"))))*MIN(450,400+(1/70)*(SUMIFS(Parametrai!$B$2:$B$40,Parametrai!$A$2:$A$40,((Reitingai!$C$2-1)-1))-2500)),(SUMIFS(Rezultatai!$J$2:$J$500,Rezultatai!$B$2:$B$500,$K69,Rezultatai!$A$2:$A$500,(Reitingai!$C$2-1),Rezultatai!$D$2:$D$500,"&lt;&gt;Papildomi (R+)")+MIN(SUMIFS(Rezultatai!$J$2:$J$500,Rezultatai!$B$2:$B$500,$K69,Rezultatai!$A$2:$A$500,(Reitingai!$C$2-1),Rezultatai!$D$2:$D$500,"Papildomi (R+)"),0.15*(SUMIFS(Rezultatai!$J$2:$J$500,Rezultatai!$B$2:$B$500,$K69,Rezultatai!$A$2:$A$500,(Reitingai!$C$2-1),Rezultatai!$D$2:$D$500,"&lt;&gt;Papildomi (R+)"))))*MIN(550,450+(1/35)*(SUMIFS(Parametrai!$B$2:$B$40,Parametrai!$A$2:$A$40,(Reitingai!$C$2-1))-2500)))-MIN((SUMIFS(Rezultatai!$J$2:$J$500,Rezultatai!$B$2:$B$500,$K69,Rezultatai!$A$2:$A$500,((Reitingai!$C$2-1)-2),Rezultatai!$D$2:$D$500,"&lt;&gt;Papildomi (R+)")+MIN(SUMIFS(Rezultatai!$J$2:$J$500,Rezultatai!$B$2:$B$500,$K69,Rezultatai!$A$2:$A$500,((Reitingai!$C$2-1)-2),Rezultatai!$D$2:$D$500,"Papildomi (R+)"),0.15*(SUMIFS(Rezultatai!$J$2:$J$500,Rezultatai!$B$2:$B$500,$K69,Rezultatai!$A$2:$A$500,((Reitingai!$C$2-1)-2),Rezultatai!$D$2:$D$500,"&lt;&gt;Papildomi (R+)"))))*MIN(425,375+(1/70)*(SUMIFS(Parametrai!$B$2:$B$40,Parametrai!$A$2:$A$40,((Reitingai!$C$2-1)-2))-2500)),(SUMIFS(Rezultatai!$J$2:$J$500,Rezultatai!$B$2:$B$500,$K69,Rezultatai!$A$2:$A$500,((Reitingai!$C$2-1)-1),Rezultatai!$D$2:$D$500,"&lt;&gt;Papildomi (R+)")+MIN(SUMIFS(Rezultatai!$J$2:$J$500,Rezultatai!$B$2:$B$500,$K69,Rezultatai!$A$2:$A$500,((Reitingai!$C$2-1)-1),Rezultatai!$D$2:$D$500,"Papildomi (R+)"),0.15*(SUMIFS(Rezultatai!$J$2:$J$500,Rezultatai!$B$2:$B$500,$K69,Rezultatai!$A$2:$A$500,((Reitingai!$C$2-1)-1),Rezultatai!$D$2:$D$500,"&lt;&gt;Papildomi (R+)"))))*MIN(450,400+(1/70)*(SUMIFS(Parametrai!$B$2:$B$40,Parametrai!$A$2:$A$40,((Reitingai!$C$2-1)-1))-2500)),(SUMIFS(Rezultatai!$J$2:$J$500,Rezultatai!$B$2:$B$500,$K69,Rezultatai!$A$2:$A$500,(Reitingai!$C$2-1),Rezultatai!$D$2:$D$500,"&lt;&gt;Papildomi (R+)")+MIN(SUMIFS(Rezultatai!$J$2:$J$500,Rezultatai!$B$2:$B$500,$K69,Rezultatai!$A$2:$A$500,(Reitingai!$C$2-1),Rezultatai!$D$2:$D$500,"Papildomi (R+)"),0.15*(SUMIFS(Rezultatai!$J$2:$J$500,Rezultatai!$B$2:$B$500,$K69,Rezultatai!$A$2:$A$500,(Reitingai!$C$2-1),Rezultatai!$D$2:$D$500,"&lt;&gt;Papildomi (R+)"))))*MIN(550,450+(1/35)*(SUMIFS(Parametrai!$B$2:$B$40,Parametrai!$A$2:$A$40,(Reitingai!$C$2-1))-2500))))</f>
        <v>0</v>
      </c>
      <c r="O69" s="17">
        <f t="shared" si="18"/>
        <v>23</v>
      </c>
      <c r="P69" s="17">
        <f t="shared" si="19"/>
        <v>30</v>
      </c>
      <c r="Q69" s="17">
        <f>IF($K69="","",$O69+COUNTIF($O$6:$O69,$O69)-1)</f>
        <v>64</v>
      </c>
    </row>
    <row r="70" spans="1:17" ht="15" customHeight="1" x14ac:dyDescent="0.3">
      <c r="A70" s="13">
        <f>IFERROR(MATCH(65,$Q$6:$Q$105,0),"")</f>
        <v>65</v>
      </c>
      <c r="B70" s="13" t="str">
        <f t="shared" ref="B70:B105" si="20">IF($A70="","",INDEX($K$6:$K$105,$A70))</f>
        <v>Rokas Liaugaudas</v>
      </c>
      <c r="C70" s="13" t="str">
        <f t="shared" ref="C70:C105" si="21">IF($A70="","",INDEX($L$6:$L$105,$A70))</f>
        <v>Kauno AASK</v>
      </c>
      <c r="D70" s="13">
        <f t="shared" ref="D70:D105" si="22">IF($A70="","",INDEX($O$6:$O$105,$A70))</f>
        <v>23</v>
      </c>
      <c r="E70" s="16">
        <f t="shared" ref="E70:E105" si="23">IF($A70="","",INDEX($P$6:$P$105,$A70))</f>
        <v>30</v>
      </c>
      <c r="F70" s="30">
        <f t="shared" ref="F70:F105" si="24">IF($A70="","",$E70-$D70)</f>
        <v>7</v>
      </c>
      <c r="G70" s="14">
        <f t="shared" ref="G70:G105" si="25">IF($A70="","",INDEX($M$6:$M$105,$A70))</f>
        <v>0</v>
      </c>
      <c r="H70" s="14">
        <f t="shared" ref="H70:H105" si="26">IF($A70="","",INDEX($N$6:$N$105,$A70))</f>
        <v>0</v>
      </c>
      <c r="I70" s="31">
        <f t="shared" ref="I70:I105" si="27">IF($A70="","",$G70-$H70)</f>
        <v>0</v>
      </c>
      <c r="K70" s="17" t="str">
        <f>IF(Pilotai!B66="","",Pilotai!B66)</f>
        <v>Rokas Liaugaudas</v>
      </c>
      <c r="L70" s="17" t="str">
        <f>IF($K70="","",Pilotai!C66)</f>
        <v>Kauno AASK</v>
      </c>
      <c r="M70" s="18">
        <f>IF($K70="","",IFERROR(INDEX(Reitingai!$G$6:$G$105,MATCH($K70,Reitingai!$B$6:$B$105,0)),0))</f>
        <v>0</v>
      </c>
      <c r="N70" s="18">
        <f>IF($K70="","",SUM((SUMIFS(Rezultatai!$J$2:$J$500,Rezultatai!$B$2:$B$500,$K70,Rezultatai!$A$2:$A$500,((Reitingai!$C$2-1)-2),Rezultatai!$D$2:$D$500,"&lt;&gt;Papildomi (R+)")+MIN(SUMIFS(Rezultatai!$J$2:$J$500,Rezultatai!$B$2:$B$500,$K70,Rezultatai!$A$2:$A$500,((Reitingai!$C$2-1)-2),Rezultatai!$D$2:$D$500,"Papildomi (R+)"),0.15*(SUMIFS(Rezultatai!$J$2:$J$500,Rezultatai!$B$2:$B$500,$K70,Rezultatai!$A$2:$A$500,((Reitingai!$C$2-1)-2),Rezultatai!$D$2:$D$500,"&lt;&gt;Papildomi (R+)"))))*MIN(425,375+(1/70)*(SUMIFS(Parametrai!$B$2:$B$40,Parametrai!$A$2:$A$40,((Reitingai!$C$2-1)-2))-2500)),(SUMIFS(Rezultatai!$J$2:$J$500,Rezultatai!$B$2:$B$500,$K70,Rezultatai!$A$2:$A$500,((Reitingai!$C$2-1)-1),Rezultatai!$D$2:$D$500,"&lt;&gt;Papildomi (R+)")+MIN(SUMIFS(Rezultatai!$J$2:$J$500,Rezultatai!$B$2:$B$500,$K70,Rezultatai!$A$2:$A$500,((Reitingai!$C$2-1)-1),Rezultatai!$D$2:$D$500,"Papildomi (R+)"),0.15*(SUMIFS(Rezultatai!$J$2:$J$500,Rezultatai!$B$2:$B$500,$K70,Rezultatai!$A$2:$A$500,((Reitingai!$C$2-1)-1),Rezultatai!$D$2:$D$500,"&lt;&gt;Papildomi (R+)"))))*MIN(450,400+(1/70)*(SUMIFS(Parametrai!$B$2:$B$40,Parametrai!$A$2:$A$40,((Reitingai!$C$2-1)-1))-2500)),(SUMIFS(Rezultatai!$J$2:$J$500,Rezultatai!$B$2:$B$500,$K70,Rezultatai!$A$2:$A$500,(Reitingai!$C$2-1),Rezultatai!$D$2:$D$500,"&lt;&gt;Papildomi (R+)")+MIN(SUMIFS(Rezultatai!$J$2:$J$500,Rezultatai!$B$2:$B$500,$K70,Rezultatai!$A$2:$A$500,(Reitingai!$C$2-1),Rezultatai!$D$2:$D$500,"Papildomi (R+)"),0.15*(SUMIFS(Rezultatai!$J$2:$J$500,Rezultatai!$B$2:$B$500,$K70,Rezultatai!$A$2:$A$500,(Reitingai!$C$2-1),Rezultatai!$D$2:$D$500,"&lt;&gt;Papildomi (R+)"))))*MIN(550,450+(1/35)*(SUMIFS(Parametrai!$B$2:$B$40,Parametrai!$A$2:$A$40,(Reitingai!$C$2-1))-2500)))-MIN((SUMIFS(Rezultatai!$J$2:$J$500,Rezultatai!$B$2:$B$500,$K70,Rezultatai!$A$2:$A$500,((Reitingai!$C$2-1)-2),Rezultatai!$D$2:$D$500,"&lt;&gt;Papildomi (R+)")+MIN(SUMIFS(Rezultatai!$J$2:$J$500,Rezultatai!$B$2:$B$500,$K70,Rezultatai!$A$2:$A$500,((Reitingai!$C$2-1)-2),Rezultatai!$D$2:$D$500,"Papildomi (R+)"),0.15*(SUMIFS(Rezultatai!$J$2:$J$500,Rezultatai!$B$2:$B$500,$K70,Rezultatai!$A$2:$A$500,((Reitingai!$C$2-1)-2),Rezultatai!$D$2:$D$500,"&lt;&gt;Papildomi (R+)"))))*MIN(425,375+(1/70)*(SUMIFS(Parametrai!$B$2:$B$40,Parametrai!$A$2:$A$40,((Reitingai!$C$2-1)-2))-2500)),(SUMIFS(Rezultatai!$J$2:$J$500,Rezultatai!$B$2:$B$500,$K70,Rezultatai!$A$2:$A$500,((Reitingai!$C$2-1)-1),Rezultatai!$D$2:$D$500,"&lt;&gt;Papildomi (R+)")+MIN(SUMIFS(Rezultatai!$J$2:$J$500,Rezultatai!$B$2:$B$500,$K70,Rezultatai!$A$2:$A$500,((Reitingai!$C$2-1)-1),Rezultatai!$D$2:$D$500,"Papildomi (R+)"),0.15*(SUMIFS(Rezultatai!$J$2:$J$500,Rezultatai!$B$2:$B$500,$K70,Rezultatai!$A$2:$A$500,((Reitingai!$C$2-1)-1),Rezultatai!$D$2:$D$500,"&lt;&gt;Papildomi (R+)"))))*MIN(450,400+(1/70)*(SUMIFS(Parametrai!$B$2:$B$40,Parametrai!$A$2:$A$40,((Reitingai!$C$2-1)-1))-2500)),(SUMIFS(Rezultatai!$J$2:$J$500,Rezultatai!$B$2:$B$500,$K70,Rezultatai!$A$2:$A$500,(Reitingai!$C$2-1),Rezultatai!$D$2:$D$500,"&lt;&gt;Papildomi (R+)")+MIN(SUMIFS(Rezultatai!$J$2:$J$500,Rezultatai!$B$2:$B$500,$K70,Rezultatai!$A$2:$A$500,(Reitingai!$C$2-1),Rezultatai!$D$2:$D$500,"Papildomi (R+)"),0.15*(SUMIFS(Rezultatai!$J$2:$J$500,Rezultatai!$B$2:$B$500,$K70,Rezultatai!$A$2:$A$500,(Reitingai!$C$2-1),Rezultatai!$D$2:$D$500,"&lt;&gt;Papildomi (R+)"))))*MIN(550,450+(1/35)*(SUMIFS(Parametrai!$B$2:$B$40,Parametrai!$A$2:$A$40,(Reitingai!$C$2-1))-2500))))</f>
        <v>0</v>
      </c>
      <c r="O70" s="17">
        <f t="shared" ref="O70:O105" si="28">IF($K70="","",RANK($M70,$M$6:$M$105,0))</f>
        <v>23</v>
      </c>
      <c r="P70" s="17">
        <f t="shared" ref="P70:P105" si="29">IF($K70="","",RANK($N70,$N$6:$N$105,0))</f>
        <v>30</v>
      </c>
      <c r="Q70" s="17">
        <f>IF($K70="","",$O70+COUNTIF($O$6:$O70,$O70)-1)</f>
        <v>65</v>
      </c>
    </row>
    <row r="71" spans="1:17" ht="15" customHeight="1" x14ac:dyDescent="0.3">
      <c r="A71" s="13">
        <f>IFERROR(MATCH(66,$Q$6:$Q$105,0),"")</f>
        <v>66</v>
      </c>
      <c r="B71" s="13" t="str">
        <f t="shared" si="20"/>
        <v>Šarunas Šulekas</v>
      </c>
      <c r="C71" s="13" t="str">
        <f t="shared" si="21"/>
        <v>Telšė</v>
      </c>
      <c r="D71" s="13">
        <f t="shared" si="22"/>
        <v>23</v>
      </c>
      <c r="E71" s="16">
        <f t="shared" si="23"/>
        <v>30</v>
      </c>
      <c r="F71" s="30">
        <f t="shared" si="24"/>
        <v>7</v>
      </c>
      <c r="G71" s="14">
        <f t="shared" si="25"/>
        <v>0</v>
      </c>
      <c r="H71" s="14">
        <f t="shared" si="26"/>
        <v>0</v>
      </c>
      <c r="I71" s="31">
        <f t="shared" si="27"/>
        <v>0</v>
      </c>
      <c r="K71" s="17" t="str">
        <f>IF(Pilotai!B67="","",Pilotai!B67)</f>
        <v>Šarunas Šulekas</v>
      </c>
      <c r="L71" s="17" t="str">
        <f>IF($K71="","",Pilotai!C67)</f>
        <v>Telšė</v>
      </c>
      <c r="M71" s="18">
        <f>IF($K71="","",IFERROR(INDEX(Reitingai!$G$6:$G$105,MATCH($K71,Reitingai!$B$6:$B$105,0)),0))</f>
        <v>0</v>
      </c>
      <c r="N71" s="18">
        <f>IF($K71="","",SUM((SUMIFS(Rezultatai!$J$2:$J$500,Rezultatai!$B$2:$B$500,$K71,Rezultatai!$A$2:$A$500,((Reitingai!$C$2-1)-2),Rezultatai!$D$2:$D$500,"&lt;&gt;Papildomi (R+)")+MIN(SUMIFS(Rezultatai!$J$2:$J$500,Rezultatai!$B$2:$B$500,$K71,Rezultatai!$A$2:$A$500,((Reitingai!$C$2-1)-2),Rezultatai!$D$2:$D$500,"Papildomi (R+)"),0.15*(SUMIFS(Rezultatai!$J$2:$J$500,Rezultatai!$B$2:$B$500,$K71,Rezultatai!$A$2:$A$500,((Reitingai!$C$2-1)-2),Rezultatai!$D$2:$D$500,"&lt;&gt;Papildomi (R+)"))))*MIN(425,375+(1/70)*(SUMIFS(Parametrai!$B$2:$B$40,Parametrai!$A$2:$A$40,((Reitingai!$C$2-1)-2))-2500)),(SUMIFS(Rezultatai!$J$2:$J$500,Rezultatai!$B$2:$B$500,$K71,Rezultatai!$A$2:$A$500,((Reitingai!$C$2-1)-1),Rezultatai!$D$2:$D$500,"&lt;&gt;Papildomi (R+)")+MIN(SUMIFS(Rezultatai!$J$2:$J$500,Rezultatai!$B$2:$B$500,$K71,Rezultatai!$A$2:$A$500,((Reitingai!$C$2-1)-1),Rezultatai!$D$2:$D$500,"Papildomi (R+)"),0.15*(SUMIFS(Rezultatai!$J$2:$J$500,Rezultatai!$B$2:$B$500,$K71,Rezultatai!$A$2:$A$500,((Reitingai!$C$2-1)-1),Rezultatai!$D$2:$D$500,"&lt;&gt;Papildomi (R+)"))))*MIN(450,400+(1/70)*(SUMIFS(Parametrai!$B$2:$B$40,Parametrai!$A$2:$A$40,((Reitingai!$C$2-1)-1))-2500)),(SUMIFS(Rezultatai!$J$2:$J$500,Rezultatai!$B$2:$B$500,$K71,Rezultatai!$A$2:$A$500,(Reitingai!$C$2-1),Rezultatai!$D$2:$D$500,"&lt;&gt;Papildomi (R+)")+MIN(SUMIFS(Rezultatai!$J$2:$J$500,Rezultatai!$B$2:$B$500,$K71,Rezultatai!$A$2:$A$500,(Reitingai!$C$2-1),Rezultatai!$D$2:$D$500,"Papildomi (R+)"),0.15*(SUMIFS(Rezultatai!$J$2:$J$500,Rezultatai!$B$2:$B$500,$K71,Rezultatai!$A$2:$A$500,(Reitingai!$C$2-1),Rezultatai!$D$2:$D$500,"&lt;&gt;Papildomi (R+)"))))*MIN(550,450+(1/35)*(SUMIFS(Parametrai!$B$2:$B$40,Parametrai!$A$2:$A$40,(Reitingai!$C$2-1))-2500)))-MIN((SUMIFS(Rezultatai!$J$2:$J$500,Rezultatai!$B$2:$B$500,$K71,Rezultatai!$A$2:$A$500,((Reitingai!$C$2-1)-2),Rezultatai!$D$2:$D$500,"&lt;&gt;Papildomi (R+)")+MIN(SUMIFS(Rezultatai!$J$2:$J$500,Rezultatai!$B$2:$B$500,$K71,Rezultatai!$A$2:$A$500,((Reitingai!$C$2-1)-2),Rezultatai!$D$2:$D$500,"Papildomi (R+)"),0.15*(SUMIFS(Rezultatai!$J$2:$J$500,Rezultatai!$B$2:$B$500,$K71,Rezultatai!$A$2:$A$500,((Reitingai!$C$2-1)-2),Rezultatai!$D$2:$D$500,"&lt;&gt;Papildomi (R+)"))))*MIN(425,375+(1/70)*(SUMIFS(Parametrai!$B$2:$B$40,Parametrai!$A$2:$A$40,((Reitingai!$C$2-1)-2))-2500)),(SUMIFS(Rezultatai!$J$2:$J$500,Rezultatai!$B$2:$B$500,$K71,Rezultatai!$A$2:$A$500,((Reitingai!$C$2-1)-1),Rezultatai!$D$2:$D$500,"&lt;&gt;Papildomi (R+)")+MIN(SUMIFS(Rezultatai!$J$2:$J$500,Rezultatai!$B$2:$B$500,$K71,Rezultatai!$A$2:$A$500,((Reitingai!$C$2-1)-1),Rezultatai!$D$2:$D$500,"Papildomi (R+)"),0.15*(SUMIFS(Rezultatai!$J$2:$J$500,Rezultatai!$B$2:$B$500,$K71,Rezultatai!$A$2:$A$500,((Reitingai!$C$2-1)-1),Rezultatai!$D$2:$D$500,"&lt;&gt;Papildomi (R+)"))))*MIN(450,400+(1/70)*(SUMIFS(Parametrai!$B$2:$B$40,Parametrai!$A$2:$A$40,((Reitingai!$C$2-1)-1))-2500)),(SUMIFS(Rezultatai!$J$2:$J$500,Rezultatai!$B$2:$B$500,$K71,Rezultatai!$A$2:$A$500,(Reitingai!$C$2-1),Rezultatai!$D$2:$D$500,"&lt;&gt;Papildomi (R+)")+MIN(SUMIFS(Rezultatai!$J$2:$J$500,Rezultatai!$B$2:$B$500,$K71,Rezultatai!$A$2:$A$500,(Reitingai!$C$2-1),Rezultatai!$D$2:$D$500,"Papildomi (R+)"),0.15*(SUMIFS(Rezultatai!$J$2:$J$500,Rezultatai!$B$2:$B$500,$K71,Rezultatai!$A$2:$A$500,(Reitingai!$C$2-1),Rezultatai!$D$2:$D$500,"&lt;&gt;Papildomi (R+)"))))*MIN(550,450+(1/35)*(SUMIFS(Parametrai!$B$2:$B$40,Parametrai!$A$2:$A$40,(Reitingai!$C$2-1))-2500))))</f>
        <v>0</v>
      </c>
      <c r="O71" s="17">
        <f t="shared" si="28"/>
        <v>23</v>
      </c>
      <c r="P71" s="17">
        <f t="shared" si="29"/>
        <v>30</v>
      </c>
      <c r="Q71" s="17">
        <f>IF($K71="","",$O71+COUNTIF($O$6:$O71,$O71)-1)</f>
        <v>66</v>
      </c>
    </row>
    <row r="72" spans="1:17" ht="15" customHeight="1" x14ac:dyDescent="0.3">
      <c r="A72" s="13">
        <f>IFERROR(MATCH(67,$Q$6:$Q$105,0),"")</f>
        <v>67</v>
      </c>
      <c r="B72" s="13" t="str">
        <f t="shared" si="20"/>
        <v>Simonas Kuprys</v>
      </c>
      <c r="C72" s="13" t="str">
        <f t="shared" si="21"/>
        <v>Kauno AASK</v>
      </c>
      <c r="D72" s="13">
        <f t="shared" si="22"/>
        <v>23</v>
      </c>
      <c r="E72" s="16">
        <f t="shared" si="23"/>
        <v>30</v>
      </c>
      <c r="F72" s="30">
        <f t="shared" si="24"/>
        <v>7</v>
      </c>
      <c r="G72" s="14">
        <f t="shared" si="25"/>
        <v>0</v>
      </c>
      <c r="H72" s="14">
        <f t="shared" si="26"/>
        <v>0</v>
      </c>
      <c r="I72" s="31">
        <f t="shared" si="27"/>
        <v>0</v>
      </c>
      <c r="K72" s="17" t="str">
        <f>IF(Pilotai!B68="","",Pilotai!B68)</f>
        <v>Simonas Kuprys</v>
      </c>
      <c r="L72" s="17" t="str">
        <f>IF($K72="","",Pilotai!C68)</f>
        <v>Kauno AASK</v>
      </c>
      <c r="M72" s="18">
        <f>IF($K72="","",IFERROR(INDEX(Reitingai!$G$6:$G$105,MATCH($K72,Reitingai!$B$6:$B$105,0)),0))</f>
        <v>0</v>
      </c>
      <c r="N72" s="18">
        <f>IF($K72="","",SUM((SUMIFS(Rezultatai!$J$2:$J$500,Rezultatai!$B$2:$B$500,$K72,Rezultatai!$A$2:$A$500,((Reitingai!$C$2-1)-2),Rezultatai!$D$2:$D$500,"&lt;&gt;Papildomi (R+)")+MIN(SUMIFS(Rezultatai!$J$2:$J$500,Rezultatai!$B$2:$B$500,$K72,Rezultatai!$A$2:$A$500,((Reitingai!$C$2-1)-2),Rezultatai!$D$2:$D$500,"Papildomi (R+)"),0.15*(SUMIFS(Rezultatai!$J$2:$J$500,Rezultatai!$B$2:$B$500,$K72,Rezultatai!$A$2:$A$500,((Reitingai!$C$2-1)-2),Rezultatai!$D$2:$D$500,"&lt;&gt;Papildomi (R+)"))))*MIN(425,375+(1/70)*(SUMIFS(Parametrai!$B$2:$B$40,Parametrai!$A$2:$A$40,((Reitingai!$C$2-1)-2))-2500)),(SUMIFS(Rezultatai!$J$2:$J$500,Rezultatai!$B$2:$B$500,$K72,Rezultatai!$A$2:$A$500,((Reitingai!$C$2-1)-1),Rezultatai!$D$2:$D$500,"&lt;&gt;Papildomi (R+)")+MIN(SUMIFS(Rezultatai!$J$2:$J$500,Rezultatai!$B$2:$B$500,$K72,Rezultatai!$A$2:$A$500,((Reitingai!$C$2-1)-1),Rezultatai!$D$2:$D$500,"Papildomi (R+)"),0.15*(SUMIFS(Rezultatai!$J$2:$J$500,Rezultatai!$B$2:$B$500,$K72,Rezultatai!$A$2:$A$500,((Reitingai!$C$2-1)-1),Rezultatai!$D$2:$D$500,"&lt;&gt;Papildomi (R+)"))))*MIN(450,400+(1/70)*(SUMIFS(Parametrai!$B$2:$B$40,Parametrai!$A$2:$A$40,((Reitingai!$C$2-1)-1))-2500)),(SUMIFS(Rezultatai!$J$2:$J$500,Rezultatai!$B$2:$B$500,$K72,Rezultatai!$A$2:$A$500,(Reitingai!$C$2-1),Rezultatai!$D$2:$D$500,"&lt;&gt;Papildomi (R+)")+MIN(SUMIFS(Rezultatai!$J$2:$J$500,Rezultatai!$B$2:$B$500,$K72,Rezultatai!$A$2:$A$500,(Reitingai!$C$2-1),Rezultatai!$D$2:$D$500,"Papildomi (R+)"),0.15*(SUMIFS(Rezultatai!$J$2:$J$500,Rezultatai!$B$2:$B$500,$K72,Rezultatai!$A$2:$A$500,(Reitingai!$C$2-1),Rezultatai!$D$2:$D$500,"&lt;&gt;Papildomi (R+)"))))*MIN(550,450+(1/35)*(SUMIFS(Parametrai!$B$2:$B$40,Parametrai!$A$2:$A$40,(Reitingai!$C$2-1))-2500)))-MIN((SUMIFS(Rezultatai!$J$2:$J$500,Rezultatai!$B$2:$B$500,$K72,Rezultatai!$A$2:$A$500,((Reitingai!$C$2-1)-2),Rezultatai!$D$2:$D$500,"&lt;&gt;Papildomi (R+)")+MIN(SUMIFS(Rezultatai!$J$2:$J$500,Rezultatai!$B$2:$B$500,$K72,Rezultatai!$A$2:$A$500,((Reitingai!$C$2-1)-2),Rezultatai!$D$2:$D$500,"Papildomi (R+)"),0.15*(SUMIFS(Rezultatai!$J$2:$J$500,Rezultatai!$B$2:$B$500,$K72,Rezultatai!$A$2:$A$500,((Reitingai!$C$2-1)-2),Rezultatai!$D$2:$D$500,"&lt;&gt;Papildomi (R+)"))))*MIN(425,375+(1/70)*(SUMIFS(Parametrai!$B$2:$B$40,Parametrai!$A$2:$A$40,((Reitingai!$C$2-1)-2))-2500)),(SUMIFS(Rezultatai!$J$2:$J$500,Rezultatai!$B$2:$B$500,$K72,Rezultatai!$A$2:$A$500,((Reitingai!$C$2-1)-1),Rezultatai!$D$2:$D$500,"&lt;&gt;Papildomi (R+)")+MIN(SUMIFS(Rezultatai!$J$2:$J$500,Rezultatai!$B$2:$B$500,$K72,Rezultatai!$A$2:$A$500,((Reitingai!$C$2-1)-1),Rezultatai!$D$2:$D$500,"Papildomi (R+)"),0.15*(SUMIFS(Rezultatai!$J$2:$J$500,Rezultatai!$B$2:$B$500,$K72,Rezultatai!$A$2:$A$500,((Reitingai!$C$2-1)-1),Rezultatai!$D$2:$D$500,"&lt;&gt;Papildomi (R+)"))))*MIN(450,400+(1/70)*(SUMIFS(Parametrai!$B$2:$B$40,Parametrai!$A$2:$A$40,((Reitingai!$C$2-1)-1))-2500)),(SUMIFS(Rezultatai!$J$2:$J$500,Rezultatai!$B$2:$B$500,$K72,Rezultatai!$A$2:$A$500,(Reitingai!$C$2-1),Rezultatai!$D$2:$D$500,"&lt;&gt;Papildomi (R+)")+MIN(SUMIFS(Rezultatai!$J$2:$J$500,Rezultatai!$B$2:$B$500,$K72,Rezultatai!$A$2:$A$500,(Reitingai!$C$2-1),Rezultatai!$D$2:$D$500,"Papildomi (R+)"),0.15*(SUMIFS(Rezultatai!$J$2:$J$500,Rezultatai!$B$2:$B$500,$K72,Rezultatai!$A$2:$A$500,(Reitingai!$C$2-1),Rezultatai!$D$2:$D$500,"&lt;&gt;Papildomi (R+)"))))*MIN(550,450+(1/35)*(SUMIFS(Parametrai!$B$2:$B$40,Parametrai!$A$2:$A$40,(Reitingai!$C$2-1))-2500))))</f>
        <v>0</v>
      </c>
      <c r="O72" s="17">
        <f t="shared" si="28"/>
        <v>23</v>
      </c>
      <c r="P72" s="17">
        <f t="shared" si="29"/>
        <v>30</v>
      </c>
      <c r="Q72" s="17">
        <f>IF($K72="","",$O72+COUNTIF($O$6:$O72,$O72)-1)</f>
        <v>67</v>
      </c>
    </row>
    <row r="73" spans="1:17" ht="15" customHeight="1" x14ac:dyDescent="0.3">
      <c r="A73" s="13">
        <f>IFERROR(MATCH(68,$Q$6:$Q$105,0),"")</f>
        <v>68</v>
      </c>
      <c r="B73" s="13" t="str">
        <f t="shared" si="20"/>
        <v>Vaidas Pileičikas</v>
      </c>
      <c r="C73" s="13" t="str">
        <f t="shared" si="21"/>
        <v>Kauno AASK</v>
      </c>
      <c r="D73" s="13">
        <f t="shared" si="22"/>
        <v>23</v>
      </c>
      <c r="E73" s="16">
        <f t="shared" si="23"/>
        <v>30</v>
      </c>
      <c r="F73" s="30">
        <f t="shared" si="24"/>
        <v>7</v>
      </c>
      <c r="G73" s="14">
        <f t="shared" si="25"/>
        <v>0</v>
      </c>
      <c r="H73" s="14">
        <f t="shared" si="26"/>
        <v>0</v>
      </c>
      <c r="I73" s="31">
        <f t="shared" si="27"/>
        <v>0</v>
      </c>
      <c r="K73" s="17" t="str">
        <f>IF(Pilotai!B69="","",Pilotai!B69)</f>
        <v>Vaidas Pileičikas</v>
      </c>
      <c r="L73" s="17" t="str">
        <f>IF($K73="","",Pilotai!C69)</f>
        <v>Kauno AASK</v>
      </c>
      <c r="M73" s="18">
        <f>IF($K73="","",IFERROR(INDEX(Reitingai!$G$6:$G$105,MATCH($K73,Reitingai!$B$6:$B$105,0)),0))</f>
        <v>0</v>
      </c>
      <c r="N73" s="18">
        <f>IF($K73="","",SUM((SUMIFS(Rezultatai!$J$2:$J$500,Rezultatai!$B$2:$B$500,$K73,Rezultatai!$A$2:$A$500,((Reitingai!$C$2-1)-2),Rezultatai!$D$2:$D$500,"&lt;&gt;Papildomi (R+)")+MIN(SUMIFS(Rezultatai!$J$2:$J$500,Rezultatai!$B$2:$B$500,$K73,Rezultatai!$A$2:$A$500,((Reitingai!$C$2-1)-2),Rezultatai!$D$2:$D$500,"Papildomi (R+)"),0.15*(SUMIFS(Rezultatai!$J$2:$J$500,Rezultatai!$B$2:$B$500,$K73,Rezultatai!$A$2:$A$500,((Reitingai!$C$2-1)-2),Rezultatai!$D$2:$D$500,"&lt;&gt;Papildomi (R+)"))))*MIN(425,375+(1/70)*(SUMIFS(Parametrai!$B$2:$B$40,Parametrai!$A$2:$A$40,((Reitingai!$C$2-1)-2))-2500)),(SUMIFS(Rezultatai!$J$2:$J$500,Rezultatai!$B$2:$B$500,$K73,Rezultatai!$A$2:$A$500,((Reitingai!$C$2-1)-1),Rezultatai!$D$2:$D$500,"&lt;&gt;Papildomi (R+)")+MIN(SUMIFS(Rezultatai!$J$2:$J$500,Rezultatai!$B$2:$B$500,$K73,Rezultatai!$A$2:$A$500,((Reitingai!$C$2-1)-1),Rezultatai!$D$2:$D$500,"Papildomi (R+)"),0.15*(SUMIFS(Rezultatai!$J$2:$J$500,Rezultatai!$B$2:$B$500,$K73,Rezultatai!$A$2:$A$500,((Reitingai!$C$2-1)-1),Rezultatai!$D$2:$D$500,"&lt;&gt;Papildomi (R+)"))))*MIN(450,400+(1/70)*(SUMIFS(Parametrai!$B$2:$B$40,Parametrai!$A$2:$A$40,((Reitingai!$C$2-1)-1))-2500)),(SUMIFS(Rezultatai!$J$2:$J$500,Rezultatai!$B$2:$B$500,$K73,Rezultatai!$A$2:$A$500,(Reitingai!$C$2-1),Rezultatai!$D$2:$D$500,"&lt;&gt;Papildomi (R+)")+MIN(SUMIFS(Rezultatai!$J$2:$J$500,Rezultatai!$B$2:$B$500,$K73,Rezultatai!$A$2:$A$500,(Reitingai!$C$2-1),Rezultatai!$D$2:$D$500,"Papildomi (R+)"),0.15*(SUMIFS(Rezultatai!$J$2:$J$500,Rezultatai!$B$2:$B$500,$K73,Rezultatai!$A$2:$A$500,(Reitingai!$C$2-1),Rezultatai!$D$2:$D$500,"&lt;&gt;Papildomi (R+)"))))*MIN(550,450+(1/35)*(SUMIFS(Parametrai!$B$2:$B$40,Parametrai!$A$2:$A$40,(Reitingai!$C$2-1))-2500)))-MIN((SUMIFS(Rezultatai!$J$2:$J$500,Rezultatai!$B$2:$B$500,$K73,Rezultatai!$A$2:$A$500,((Reitingai!$C$2-1)-2),Rezultatai!$D$2:$D$500,"&lt;&gt;Papildomi (R+)")+MIN(SUMIFS(Rezultatai!$J$2:$J$500,Rezultatai!$B$2:$B$500,$K73,Rezultatai!$A$2:$A$500,((Reitingai!$C$2-1)-2),Rezultatai!$D$2:$D$500,"Papildomi (R+)"),0.15*(SUMIFS(Rezultatai!$J$2:$J$500,Rezultatai!$B$2:$B$500,$K73,Rezultatai!$A$2:$A$500,((Reitingai!$C$2-1)-2),Rezultatai!$D$2:$D$500,"&lt;&gt;Papildomi (R+)"))))*MIN(425,375+(1/70)*(SUMIFS(Parametrai!$B$2:$B$40,Parametrai!$A$2:$A$40,((Reitingai!$C$2-1)-2))-2500)),(SUMIFS(Rezultatai!$J$2:$J$500,Rezultatai!$B$2:$B$500,$K73,Rezultatai!$A$2:$A$500,((Reitingai!$C$2-1)-1),Rezultatai!$D$2:$D$500,"&lt;&gt;Papildomi (R+)")+MIN(SUMIFS(Rezultatai!$J$2:$J$500,Rezultatai!$B$2:$B$500,$K73,Rezultatai!$A$2:$A$500,((Reitingai!$C$2-1)-1),Rezultatai!$D$2:$D$500,"Papildomi (R+)"),0.15*(SUMIFS(Rezultatai!$J$2:$J$500,Rezultatai!$B$2:$B$500,$K73,Rezultatai!$A$2:$A$500,((Reitingai!$C$2-1)-1),Rezultatai!$D$2:$D$500,"&lt;&gt;Papildomi (R+)"))))*MIN(450,400+(1/70)*(SUMIFS(Parametrai!$B$2:$B$40,Parametrai!$A$2:$A$40,((Reitingai!$C$2-1)-1))-2500)),(SUMIFS(Rezultatai!$J$2:$J$500,Rezultatai!$B$2:$B$500,$K73,Rezultatai!$A$2:$A$500,(Reitingai!$C$2-1),Rezultatai!$D$2:$D$500,"&lt;&gt;Papildomi (R+)")+MIN(SUMIFS(Rezultatai!$J$2:$J$500,Rezultatai!$B$2:$B$500,$K73,Rezultatai!$A$2:$A$500,(Reitingai!$C$2-1),Rezultatai!$D$2:$D$500,"Papildomi (R+)"),0.15*(SUMIFS(Rezultatai!$J$2:$J$500,Rezultatai!$B$2:$B$500,$K73,Rezultatai!$A$2:$A$500,(Reitingai!$C$2-1),Rezultatai!$D$2:$D$500,"&lt;&gt;Papildomi (R+)"))))*MIN(550,450+(1/35)*(SUMIFS(Parametrai!$B$2:$B$40,Parametrai!$A$2:$A$40,(Reitingai!$C$2-1))-2500))))</f>
        <v>0</v>
      </c>
      <c r="O73" s="17">
        <f t="shared" si="28"/>
        <v>23</v>
      </c>
      <c r="P73" s="17">
        <f t="shared" si="29"/>
        <v>30</v>
      </c>
      <c r="Q73" s="17">
        <f>IF($K73="","",$O73+COUNTIF($O$6:$O73,$O73)-1)</f>
        <v>68</v>
      </c>
    </row>
    <row r="74" spans="1:17" ht="15" customHeight="1" x14ac:dyDescent="0.3">
      <c r="A74" s="13">
        <f>IFERROR(MATCH(69,$Q$6:$Q$105,0),"")</f>
        <v>69</v>
      </c>
      <c r="B74" s="13" t="str">
        <f t="shared" si="20"/>
        <v>Vidas Berzinskas</v>
      </c>
      <c r="C74" s="13" t="str">
        <f t="shared" si="21"/>
        <v>Vilniaus Aeroklubas</v>
      </c>
      <c r="D74" s="13">
        <f t="shared" si="22"/>
        <v>23</v>
      </c>
      <c r="E74" s="16">
        <f t="shared" si="23"/>
        <v>30</v>
      </c>
      <c r="F74" s="30">
        <f t="shared" si="24"/>
        <v>7</v>
      </c>
      <c r="G74" s="14">
        <f t="shared" si="25"/>
        <v>0</v>
      </c>
      <c r="H74" s="14">
        <f t="shared" si="26"/>
        <v>0</v>
      </c>
      <c r="I74" s="31">
        <f t="shared" si="27"/>
        <v>0</v>
      </c>
      <c r="K74" s="17" t="str">
        <f>IF(Pilotai!B70="","",Pilotai!B70)</f>
        <v>Vidas Berzinskas</v>
      </c>
      <c r="L74" s="17" t="str">
        <f>IF($K74="","",Pilotai!C70)</f>
        <v>Vilniaus Aeroklubas</v>
      </c>
      <c r="M74" s="18">
        <f>IF($K74="","",IFERROR(INDEX(Reitingai!$G$6:$G$105,MATCH($K74,Reitingai!$B$6:$B$105,0)),0))</f>
        <v>0</v>
      </c>
      <c r="N74" s="18">
        <f>IF($K74="","",SUM((SUMIFS(Rezultatai!$J$2:$J$500,Rezultatai!$B$2:$B$500,$K74,Rezultatai!$A$2:$A$500,((Reitingai!$C$2-1)-2),Rezultatai!$D$2:$D$500,"&lt;&gt;Papildomi (R+)")+MIN(SUMIFS(Rezultatai!$J$2:$J$500,Rezultatai!$B$2:$B$500,$K74,Rezultatai!$A$2:$A$500,((Reitingai!$C$2-1)-2),Rezultatai!$D$2:$D$500,"Papildomi (R+)"),0.15*(SUMIFS(Rezultatai!$J$2:$J$500,Rezultatai!$B$2:$B$500,$K74,Rezultatai!$A$2:$A$500,((Reitingai!$C$2-1)-2),Rezultatai!$D$2:$D$500,"&lt;&gt;Papildomi (R+)"))))*MIN(425,375+(1/70)*(SUMIFS(Parametrai!$B$2:$B$40,Parametrai!$A$2:$A$40,((Reitingai!$C$2-1)-2))-2500)),(SUMIFS(Rezultatai!$J$2:$J$500,Rezultatai!$B$2:$B$500,$K74,Rezultatai!$A$2:$A$500,((Reitingai!$C$2-1)-1),Rezultatai!$D$2:$D$500,"&lt;&gt;Papildomi (R+)")+MIN(SUMIFS(Rezultatai!$J$2:$J$500,Rezultatai!$B$2:$B$500,$K74,Rezultatai!$A$2:$A$500,((Reitingai!$C$2-1)-1),Rezultatai!$D$2:$D$500,"Papildomi (R+)"),0.15*(SUMIFS(Rezultatai!$J$2:$J$500,Rezultatai!$B$2:$B$500,$K74,Rezultatai!$A$2:$A$500,((Reitingai!$C$2-1)-1),Rezultatai!$D$2:$D$500,"&lt;&gt;Papildomi (R+)"))))*MIN(450,400+(1/70)*(SUMIFS(Parametrai!$B$2:$B$40,Parametrai!$A$2:$A$40,((Reitingai!$C$2-1)-1))-2500)),(SUMIFS(Rezultatai!$J$2:$J$500,Rezultatai!$B$2:$B$500,$K74,Rezultatai!$A$2:$A$500,(Reitingai!$C$2-1),Rezultatai!$D$2:$D$500,"&lt;&gt;Papildomi (R+)")+MIN(SUMIFS(Rezultatai!$J$2:$J$500,Rezultatai!$B$2:$B$500,$K74,Rezultatai!$A$2:$A$500,(Reitingai!$C$2-1),Rezultatai!$D$2:$D$500,"Papildomi (R+)"),0.15*(SUMIFS(Rezultatai!$J$2:$J$500,Rezultatai!$B$2:$B$500,$K74,Rezultatai!$A$2:$A$500,(Reitingai!$C$2-1),Rezultatai!$D$2:$D$500,"&lt;&gt;Papildomi (R+)"))))*MIN(550,450+(1/35)*(SUMIFS(Parametrai!$B$2:$B$40,Parametrai!$A$2:$A$40,(Reitingai!$C$2-1))-2500)))-MIN((SUMIFS(Rezultatai!$J$2:$J$500,Rezultatai!$B$2:$B$500,$K74,Rezultatai!$A$2:$A$500,((Reitingai!$C$2-1)-2),Rezultatai!$D$2:$D$500,"&lt;&gt;Papildomi (R+)")+MIN(SUMIFS(Rezultatai!$J$2:$J$500,Rezultatai!$B$2:$B$500,$K74,Rezultatai!$A$2:$A$500,((Reitingai!$C$2-1)-2),Rezultatai!$D$2:$D$500,"Papildomi (R+)"),0.15*(SUMIFS(Rezultatai!$J$2:$J$500,Rezultatai!$B$2:$B$500,$K74,Rezultatai!$A$2:$A$500,((Reitingai!$C$2-1)-2),Rezultatai!$D$2:$D$500,"&lt;&gt;Papildomi (R+)"))))*MIN(425,375+(1/70)*(SUMIFS(Parametrai!$B$2:$B$40,Parametrai!$A$2:$A$40,((Reitingai!$C$2-1)-2))-2500)),(SUMIFS(Rezultatai!$J$2:$J$500,Rezultatai!$B$2:$B$500,$K74,Rezultatai!$A$2:$A$500,((Reitingai!$C$2-1)-1),Rezultatai!$D$2:$D$500,"&lt;&gt;Papildomi (R+)")+MIN(SUMIFS(Rezultatai!$J$2:$J$500,Rezultatai!$B$2:$B$500,$K74,Rezultatai!$A$2:$A$500,((Reitingai!$C$2-1)-1),Rezultatai!$D$2:$D$500,"Papildomi (R+)"),0.15*(SUMIFS(Rezultatai!$J$2:$J$500,Rezultatai!$B$2:$B$500,$K74,Rezultatai!$A$2:$A$500,((Reitingai!$C$2-1)-1),Rezultatai!$D$2:$D$500,"&lt;&gt;Papildomi (R+)"))))*MIN(450,400+(1/70)*(SUMIFS(Parametrai!$B$2:$B$40,Parametrai!$A$2:$A$40,((Reitingai!$C$2-1)-1))-2500)),(SUMIFS(Rezultatai!$J$2:$J$500,Rezultatai!$B$2:$B$500,$K74,Rezultatai!$A$2:$A$500,(Reitingai!$C$2-1),Rezultatai!$D$2:$D$500,"&lt;&gt;Papildomi (R+)")+MIN(SUMIFS(Rezultatai!$J$2:$J$500,Rezultatai!$B$2:$B$500,$K74,Rezultatai!$A$2:$A$500,(Reitingai!$C$2-1),Rezultatai!$D$2:$D$500,"Papildomi (R+)"),0.15*(SUMIFS(Rezultatai!$J$2:$J$500,Rezultatai!$B$2:$B$500,$K74,Rezultatai!$A$2:$A$500,(Reitingai!$C$2-1),Rezultatai!$D$2:$D$500,"&lt;&gt;Papildomi (R+)"))))*MIN(550,450+(1/35)*(SUMIFS(Parametrai!$B$2:$B$40,Parametrai!$A$2:$A$40,(Reitingai!$C$2-1))-2500))))</f>
        <v>0</v>
      </c>
      <c r="O74" s="17">
        <f t="shared" si="28"/>
        <v>23</v>
      </c>
      <c r="P74" s="17">
        <f t="shared" si="29"/>
        <v>30</v>
      </c>
      <c r="Q74" s="17">
        <f>IF($K74="","",$O74+COUNTIF($O$6:$O74,$O74)-1)</f>
        <v>69</v>
      </c>
    </row>
    <row r="75" spans="1:17" ht="15" customHeight="1" x14ac:dyDescent="0.3">
      <c r="A75" s="13" t="str">
        <f>IFERROR(MATCH(70,$Q$6:$Q$105,0),"")</f>
        <v/>
      </c>
      <c r="B75" s="13" t="str">
        <f t="shared" si="20"/>
        <v/>
      </c>
      <c r="C75" s="13" t="str">
        <f t="shared" si="21"/>
        <v/>
      </c>
      <c r="D75" s="13" t="str">
        <f t="shared" si="22"/>
        <v/>
      </c>
      <c r="E75" s="16" t="str">
        <f t="shared" si="23"/>
        <v/>
      </c>
      <c r="F75" s="30" t="str">
        <f t="shared" si="24"/>
        <v/>
      </c>
      <c r="G75" s="14" t="str">
        <f t="shared" si="25"/>
        <v/>
      </c>
      <c r="H75" s="14" t="str">
        <f t="shared" si="26"/>
        <v/>
      </c>
      <c r="I75" s="31" t="str">
        <f t="shared" si="27"/>
        <v/>
      </c>
      <c r="K75" s="17" t="str">
        <f>IF(Pilotai!B71="","",Pilotai!B71)</f>
        <v/>
      </c>
      <c r="L75" s="17" t="str">
        <f>IF($K75="","",Pilotai!C71)</f>
        <v/>
      </c>
      <c r="M75" s="18" t="str">
        <f>IF($K75="","",IFERROR(INDEX(Reitingai!$G$6:$G$105,MATCH($K75,Reitingai!$B$6:$B$105,0)),0))</f>
        <v/>
      </c>
      <c r="N75" s="18" t="str">
        <f>IF($K75="","",SUM((SUMIFS(Rezultatai!$J$2:$J$500,Rezultatai!$B$2:$B$500,$K75,Rezultatai!$A$2:$A$500,((Reitingai!$C$2-1)-2),Rezultatai!$D$2:$D$500,"&lt;&gt;Papildomi (R+)")+MIN(SUMIFS(Rezultatai!$J$2:$J$500,Rezultatai!$B$2:$B$500,$K75,Rezultatai!$A$2:$A$500,((Reitingai!$C$2-1)-2),Rezultatai!$D$2:$D$500,"Papildomi (R+)"),0.15*(SUMIFS(Rezultatai!$J$2:$J$500,Rezultatai!$B$2:$B$500,$K75,Rezultatai!$A$2:$A$500,((Reitingai!$C$2-1)-2),Rezultatai!$D$2:$D$500,"&lt;&gt;Papildomi (R+)"))))*MIN(425,375+(1/70)*(SUMIFS(Parametrai!$B$2:$B$40,Parametrai!$A$2:$A$40,((Reitingai!$C$2-1)-2))-2500)),(SUMIFS(Rezultatai!$J$2:$J$500,Rezultatai!$B$2:$B$500,$K75,Rezultatai!$A$2:$A$500,((Reitingai!$C$2-1)-1),Rezultatai!$D$2:$D$500,"&lt;&gt;Papildomi (R+)")+MIN(SUMIFS(Rezultatai!$J$2:$J$500,Rezultatai!$B$2:$B$500,$K75,Rezultatai!$A$2:$A$500,((Reitingai!$C$2-1)-1),Rezultatai!$D$2:$D$500,"Papildomi (R+)"),0.15*(SUMIFS(Rezultatai!$J$2:$J$500,Rezultatai!$B$2:$B$500,$K75,Rezultatai!$A$2:$A$500,((Reitingai!$C$2-1)-1),Rezultatai!$D$2:$D$500,"&lt;&gt;Papildomi (R+)"))))*MIN(450,400+(1/70)*(SUMIFS(Parametrai!$B$2:$B$40,Parametrai!$A$2:$A$40,((Reitingai!$C$2-1)-1))-2500)),(SUMIFS(Rezultatai!$J$2:$J$500,Rezultatai!$B$2:$B$500,$K75,Rezultatai!$A$2:$A$500,(Reitingai!$C$2-1),Rezultatai!$D$2:$D$500,"&lt;&gt;Papildomi (R+)")+MIN(SUMIFS(Rezultatai!$J$2:$J$500,Rezultatai!$B$2:$B$500,$K75,Rezultatai!$A$2:$A$500,(Reitingai!$C$2-1),Rezultatai!$D$2:$D$500,"Papildomi (R+)"),0.15*(SUMIFS(Rezultatai!$J$2:$J$500,Rezultatai!$B$2:$B$500,$K75,Rezultatai!$A$2:$A$500,(Reitingai!$C$2-1),Rezultatai!$D$2:$D$500,"&lt;&gt;Papildomi (R+)"))))*MIN(550,450+(1/35)*(SUMIFS(Parametrai!$B$2:$B$40,Parametrai!$A$2:$A$40,(Reitingai!$C$2-1))-2500)))-MIN((SUMIFS(Rezultatai!$J$2:$J$500,Rezultatai!$B$2:$B$500,$K75,Rezultatai!$A$2:$A$500,((Reitingai!$C$2-1)-2),Rezultatai!$D$2:$D$500,"&lt;&gt;Papildomi (R+)")+MIN(SUMIFS(Rezultatai!$J$2:$J$500,Rezultatai!$B$2:$B$500,$K75,Rezultatai!$A$2:$A$500,((Reitingai!$C$2-1)-2),Rezultatai!$D$2:$D$500,"Papildomi (R+)"),0.15*(SUMIFS(Rezultatai!$J$2:$J$500,Rezultatai!$B$2:$B$500,$K75,Rezultatai!$A$2:$A$500,((Reitingai!$C$2-1)-2),Rezultatai!$D$2:$D$500,"&lt;&gt;Papildomi (R+)"))))*MIN(425,375+(1/70)*(SUMIFS(Parametrai!$B$2:$B$40,Parametrai!$A$2:$A$40,((Reitingai!$C$2-1)-2))-2500)),(SUMIFS(Rezultatai!$J$2:$J$500,Rezultatai!$B$2:$B$500,$K75,Rezultatai!$A$2:$A$500,((Reitingai!$C$2-1)-1),Rezultatai!$D$2:$D$500,"&lt;&gt;Papildomi (R+)")+MIN(SUMIFS(Rezultatai!$J$2:$J$500,Rezultatai!$B$2:$B$500,$K75,Rezultatai!$A$2:$A$500,((Reitingai!$C$2-1)-1),Rezultatai!$D$2:$D$500,"Papildomi (R+)"),0.15*(SUMIFS(Rezultatai!$J$2:$J$500,Rezultatai!$B$2:$B$500,$K75,Rezultatai!$A$2:$A$500,((Reitingai!$C$2-1)-1),Rezultatai!$D$2:$D$500,"&lt;&gt;Papildomi (R+)"))))*MIN(450,400+(1/70)*(SUMIFS(Parametrai!$B$2:$B$40,Parametrai!$A$2:$A$40,((Reitingai!$C$2-1)-1))-2500)),(SUMIFS(Rezultatai!$J$2:$J$500,Rezultatai!$B$2:$B$500,$K75,Rezultatai!$A$2:$A$500,(Reitingai!$C$2-1),Rezultatai!$D$2:$D$500,"&lt;&gt;Papildomi (R+)")+MIN(SUMIFS(Rezultatai!$J$2:$J$500,Rezultatai!$B$2:$B$500,$K75,Rezultatai!$A$2:$A$500,(Reitingai!$C$2-1),Rezultatai!$D$2:$D$500,"Papildomi (R+)"),0.15*(SUMIFS(Rezultatai!$J$2:$J$500,Rezultatai!$B$2:$B$500,$K75,Rezultatai!$A$2:$A$500,(Reitingai!$C$2-1),Rezultatai!$D$2:$D$500,"&lt;&gt;Papildomi (R+)"))))*MIN(550,450+(1/35)*(SUMIFS(Parametrai!$B$2:$B$40,Parametrai!$A$2:$A$40,(Reitingai!$C$2-1))-2500))))</f>
        <v/>
      </c>
      <c r="O75" s="17" t="str">
        <f t="shared" si="28"/>
        <v/>
      </c>
      <c r="P75" s="17" t="str">
        <f t="shared" si="29"/>
        <v/>
      </c>
      <c r="Q75" s="17" t="str">
        <f>IF($K75="","",$O75+COUNTIF($O$6:$O75,$O75)-1)</f>
        <v/>
      </c>
    </row>
    <row r="76" spans="1:17" ht="15" customHeight="1" x14ac:dyDescent="0.3">
      <c r="A76" s="13" t="str">
        <f>IFERROR(MATCH(71,$Q$6:$Q$105,0),"")</f>
        <v/>
      </c>
      <c r="B76" s="13" t="str">
        <f t="shared" si="20"/>
        <v/>
      </c>
      <c r="C76" s="13" t="str">
        <f t="shared" si="21"/>
        <v/>
      </c>
      <c r="D76" s="13" t="str">
        <f t="shared" si="22"/>
        <v/>
      </c>
      <c r="E76" s="16" t="str">
        <f t="shared" si="23"/>
        <v/>
      </c>
      <c r="F76" s="30" t="str">
        <f t="shared" si="24"/>
        <v/>
      </c>
      <c r="G76" s="14" t="str">
        <f t="shared" si="25"/>
        <v/>
      </c>
      <c r="H76" s="14" t="str">
        <f t="shared" si="26"/>
        <v/>
      </c>
      <c r="I76" s="31" t="str">
        <f t="shared" si="27"/>
        <v/>
      </c>
      <c r="K76" s="17" t="str">
        <f>IF(Pilotai!B72="","",Pilotai!B72)</f>
        <v/>
      </c>
      <c r="L76" s="17" t="str">
        <f>IF($K76="","",Pilotai!C72)</f>
        <v/>
      </c>
      <c r="M76" s="18" t="str">
        <f>IF($K76="","",IFERROR(INDEX(Reitingai!$G$6:$G$105,MATCH($K76,Reitingai!$B$6:$B$105,0)),0))</f>
        <v/>
      </c>
      <c r="N76" s="18" t="str">
        <f>IF($K76="","",SUM((SUMIFS(Rezultatai!$J$2:$J$500,Rezultatai!$B$2:$B$500,$K76,Rezultatai!$A$2:$A$500,((Reitingai!$C$2-1)-2),Rezultatai!$D$2:$D$500,"&lt;&gt;Papildomi (R+)")+MIN(SUMIFS(Rezultatai!$J$2:$J$500,Rezultatai!$B$2:$B$500,$K76,Rezultatai!$A$2:$A$500,((Reitingai!$C$2-1)-2),Rezultatai!$D$2:$D$500,"Papildomi (R+)"),0.15*(SUMIFS(Rezultatai!$J$2:$J$500,Rezultatai!$B$2:$B$500,$K76,Rezultatai!$A$2:$A$500,((Reitingai!$C$2-1)-2),Rezultatai!$D$2:$D$500,"&lt;&gt;Papildomi (R+)"))))*MIN(425,375+(1/70)*(SUMIFS(Parametrai!$B$2:$B$40,Parametrai!$A$2:$A$40,((Reitingai!$C$2-1)-2))-2500)),(SUMIFS(Rezultatai!$J$2:$J$500,Rezultatai!$B$2:$B$500,$K76,Rezultatai!$A$2:$A$500,((Reitingai!$C$2-1)-1),Rezultatai!$D$2:$D$500,"&lt;&gt;Papildomi (R+)")+MIN(SUMIFS(Rezultatai!$J$2:$J$500,Rezultatai!$B$2:$B$500,$K76,Rezultatai!$A$2:$A$500,((Reitingai!$C$2-1)-1),Rezultatai!$D$2:$D$500,"Papildomi (R+)"),0.15*(SUMIFS(Rezultatai!$J$2:$J$500,Rezultatai!$B$2:$B$500,$K76,Rezultatai!$A$2:$A$500,((Reitingai!$C$2-1)-1),Rezultatai!$D$2:$D$500,"&lt;&gt;Papildomi (R+)"))))*MIN(450,400+(1/70)*(SUMIFS(Parametrai!$B$2:$B$40,Parametrai!$A$2:$A$40,((Reitingai!$C$2-1)-1))-2500)),(SUMIFS(Rezultatai!$J$2:$J$500,Rezultatai!$B$2:$B$500,$K76,Rezultatai!$A$2:$A$500,(Reitingai!$C$2-1),Rezultatai!$D$2:$D$500,"&lt;&gt;Papildomi (R+)")+MIN(SUMIFS(Rezultatai!$J$2:$J$500,Rezultatai!$B$2:$B$500,$K76,Rezultatai!$A$2:$A$500,(Reitingai!$C$2-1),Rezultatai!$D$2:$D$500,"Papildomi (R+)"),0.15*(SUMIFS(Rezultatai!$J$2:$J$500,Rezultatai!$B$2:$B$500,$K76,Rezultatai!$A$2:$A$500,(Reitingai!$C$2-1),Rezultatai!$D$2:$D$500,"&lt;&gt;Papildomi (R+)"))))*MIN(550,450+(1/35)*(SUMIFS(Parametrai!$B$2:$B$40,Parametrai!$A$2:$A$40,(Reitingai!$C$2-1))-2500)))-MIN((SUMIFS(Rezultatai!$J$2:$J$500,Rezultatai!$B$2:$B$500,$K76,Rezultatai!$A$2:$A$500,((Reitingai!$C$2-1)-2),Rezultatai!$D$2:$D$500,"&lt;&gt;Papildomi (R+)")+MIN(SUMIFS(Rezultatai!$J$2:$J$500,Rezultatai!$B$2:$B$500,$K76,Rezultatai!$A$2:$A$500,((Reitingai!$C$2-1)-2),Rezultatai!$D$2:$D$500,"Papildomi (R+)"),0.15*(SUMIFS(Rezultatai!$J$2:$J$500,Rezultatai!$B$2:$B$500,$K76,Rezultatai!$A$2:$A$500,((Reitingai!$C$2-1)-2),Rezultatai!$D$2:$D$500,"&lt;&gt;Papildomi (R+)"))))*MIN(425,375+(1/70)*(SUMIFS(Parametrai!$B$2:$B$40,Parametrai!$A$2:$A$40,((Reitingai!$C$2-1)-2))-2500)),(SUMIFS(Rezultatai!$J$2:$J$500,Rezultatai!$B$2:$B$500,$K76,Rezultatai!$A$2:$A$500,((Reitingai!$C$2-1)-1),Rezultatai!$D$2:$D$500,"&lt;&gt;Papildomi (R+)")+MIN(SUMIFS(Rezultatai!$J$2:$J$500,Rezultatai!$B$2:$B$500,$K76,Rezultatai!$A$2:$A$500,((Reitingai!$C$2-1)-1),Rezultatai!$D$2:$D$500,"Papildomi (R+)"),0.15*(SUMIFS(Rezultatai!$J$2:$J$500,Rezultatai!$B$2:$B$500,$K76,Rezultatai!$A$2:$A$500,((Reitingai!$C$2-1)-1),Rezultatai!$D$2:$D$500,"&lt;&gt;Papildomi (R+)"))))*MIN(450,400+(1/70)*(SUMIFS(Parametrai!$B$2:$B$40,Parametrai!$A$2:$A$40,((Reitingai!$C$2-1)-1))-2500)),(SUMIFS(Rezultatai!$J$2:$J$500,Rezultatai!$B$2:$B$500,$K76,Rezultatai!$A$2:$A$500,(Reitingai!$C$2-1),Rezultatai!$D$2:$D$500,"&lt;&gt;Papildomi (R+)")+MIN(SUMIFS(Rezultatai!$J$2:$J$500,Rezultatai!$B$2:$B$500,$K76,Rezultatai!$A$2:$A$500,(Reitingai!$C$2-1),Rezultatai!$D$2:$D$500,"Papildomi (R+)"),0.15*(SUMIFS(Rezultatai!$J$2:$J$500,Rezultatai!$B$2:$B$500,$K76,Rezultatai!$A$2:$A$500,(Reitingai!$C$2-1),Rezultatai!$D$2:$D$500,"&lt;&gt;Papildomi (R+)"))))*MIN(550,450+(1/35)*(SUMIFS(Parametrai!$B$2:$B$40,Parametrai!$A$2:$A$40,(Reitingai!$C$2-1))-2500))))</f>
        <v/>
      </c>
      <c r="O76" s="17" t="str">
        <f t="shared" si="28"/>
        <v/>
      </c>
      <c r="P76" s="17" t="str">
        <f t="shared" si="29"/>
        <v/>
      </c>
      <c r="Q76" s="17" t="str">
        <f>IF($K76="","",$O76+COUNTIF($O$6:$O76,$O76)-1)</f>
        <v/>
      </c>
    </row>
    <row r="77" spans="1:17" ht="15" customHeight="1" x14ac:dyDescent="0.3">
      <c r="A77" s="13" t="str">
        <f>IFERROR(MATCH(72,$Q$6:$Q$105,0),"")</f>
        <v/>
      </c>
      <c r="B77" s="13" t="str">
        <f t="shared" si="20"/>
        <v/>
      </c>
      <c r="C77" s="13" t="str">
        <f t="shared" si="21"/>
        <v/>
      </c>
      <c r="D77" s="13" t="str">
        <f t="shared" si="22"/>
        <v/>
      </c>
      <c r="E77" s="16" t="str">
        <f t="shared" si="23"/>
        <v/>
      </c>
      <c r="F77" s="30" t="str">
        <f t="shared" si="24"/>
        <v/>
      </c>
      <c r="G77" s="14" t="str">
        <f t="shared" si="25"/>
        <v/>
      </c>
      <c r="H77" s="14" t="str">
        <f t="shared" si="26"/>
        <v/>
      </c>
      <c r="I77" s="31" t="str">
        <f t="shared" si="27"/>
        <v/>
      </c>
      <c r="K77" s="17" t="str">
        <f>IF(Pilotai!B73="","",Pilotai!B73)</f>
        <v/>
      </c>
      <c r="L77" s="17" t="str">
        <f>IF($K77="","",Pilotai!C73)</f>
        <v/>
      </c>
      <c r="M77" s="18" t="str">
        <f>IF($K77="","",IFERROR(INDEX(Reitingai!$G$6:$G$105,MATCH($K77,Reitingai!$B$6:$B$105,0)),0))</f>
        <v/>
      </c>
      <c r="N77" s="18" t="str">
        <f>IF($K77="","",SUM((SUMIFS(Rezultatai!$J$2:$J$500,Rezultatai!$B$2:$B$500,$K77,Rezultatai!$A$2:$A$500,((Reitingai!$C$2-1)-2),Rezultatai!$D$2:$D$500,"&lt;&gt;Papildomi (R+)")+MIN(SUMIFS(Rezultatai!$J$2:$J$500,Rezultatai!$B$2:$B$500,$K77,Rezultatai!$A$2:$A$500,((Reitingai!$C$2-1)-2),Rezultatai!$D$2:$D$500,"Papildomi (R+)"),0.15*(SUMIFS(Rezultatai!$J$2:$J$500,Rezultatai!$B$2:$B$500,$K77,Rezultatai!$A$2:$A$500,((Reitingai!$C$2-1)-2),Rezultatai!$D$2:$D$500,"&lt;&gt;Papildomi (R+)"))))*MIN(425,375+(1/70)*(SUMIFS(Parametrai!$B$2:$B$40,Parametrai!$A$2:$A$40,((Reitingai!$C$2-1)-2))-2500)),(SUMIFS(Rezultatai!$J$2:$J$500,Rezultatai!$B$2:$B$500,$K77,Rezultatai!$A$2:$A$500,((Reitingai!$C$2-1)-1),Rezultatai!$D$2:$D$500,"&lt;&gt;Papildomi (R+)")+MIN(SUMIFS(Rezultatai!$J$2:$J$500,Rezultatai!$B$2:$B$500,$K77,Rezultatai!$A$2:$A$500,((Reitingai!$C$2-1)-1),Rezultatai!$D$2:$D$500,"Papildomi (R+)"),0.15*(SUMIFS(Rezultatai!$J$2:$J$500,Rezultatai!$B$2:$B$500,$K77,Rezultatai!$A$2:$A$500,((Reitingai!$C$2-1)-1),Rezultatai!$D$2:$D$500,"&lt;&gt;Papildomi (R+)"))))*MIN(450,400+(1/70)*(SUMIFS(Parametrai!$B$2:$B$40,Parametrai!$A$2:$A$40,((Reitingai!$C$2-1)-1))-2500)),(SUMIFS(Rezultatai!$J$2:$J$500,Rezultatai!$B$2:$B$500,$K77,Rezultatai!$A$2:$A$500,(Reitingai!$C$2-1),Rezultatai!$D$2:$D$500,"&lt;&gt;Papildomi (R+)")+MIN(SUMIFS(Rezultatai!$J$2:$J$500,Rezultatai!$B$2:$B$500,$K77,Rezultatai!$A$2:$A$500,(Reitingai!$C$2-1),Rezultatai!$D$2:$D$500,"Papildomi (R+)"),0.15*(SUMIFS(Rezultatai!$J$2:$J$500,Rezultatai!$B$2:$B$500,$K77,Rezultatai!$A$2:$A$500,(Reitingai!$C$2-1),Rezultatai!$D$2:$D$500,"&lt;&gt;Papildomi (R+)"))))*MIN(550,450+(1/35)*(SUMIFS(Parametrai!$B$2:$B$40,Parametrai!$A$2:$A$40,(Reitingai!$C$2-1))-2500)))-MIN((SUMIFS(Rezultatai!$J$2:$J$500,Rezultatai!$B$2:$B$500,$K77,Rezultatai!$A$2:$A$500,((Reitingai!$C$2-1)-2),Rezultatai!$D$2:$D$500,"&lt;&gt;Papildomi (R+)")+MIN(SUMIFS(Rezultatai!$J$2:$J$500,Rezultatai!$B$2:$B$500,$K77,Rezultatai!$A$2:$A$500,((Reitingai!$C$2-1)-2),Rezultatai!$D$2:$D$500,"Papildomi (R+)"),0.15*(SUMIFS(Rezultatai!$J$2:$J$500,Rezultatai!$B$2:$B$500,$K77,Rezultatai!$A$2:$A$500,((Reitingai!$C$2-1)-2),Rezultatai!$D$2:$D$500,"&lt;&gt;Papildomi (R+)"))))*MIN(425,375+(1/70)*(SUMIFS(Parametrai!$B$2:$B$40,Parametrai!$A$2:$A$40,((Reitingai!$C$2-1)-2))-2500)),(SUMIFS(Rezultatai!$J$2:$J$500,Rezultatai!$B$2:$B$500,$K77,Rezultatai!$A$2:$A$500,((Reitingai!$C$2-1)-1),Rezultatai!$D$2:$D$500,"&lt;&gt;Papildomi (R+)")+MIN(SUMIFS(Rezultatai!$J$2:$J$500,Rezultatai!$B$2:$B$500,$K77,Rezultatai!$A$2:$A$500,((Reitingai!$C$2-1)-1),Rezultatai!$D$2:$D$500,"Papildomi (R+)"),0.15*(SUMIFS(Rezultatai!$J$2:$J$500,Rezultatai!$B$2:$B$500,$K77,Rezultatai!$A$2:$A$500,((Reitingai!$C$2-1)-1),Rezultatai!$D$2:$D$500,"&lt;&gt;Papildomi (R+)"))))*MIN(450,400+(1/70)*(SUMIFS(Parametrai!$B$2:$B$40,Parametrai!$A$2:$A$40,((Reitingai!$C$2-1)-1))-2500)),(SUMIFS(Rezultatai!$J$2:$J$500,Rezultatai!$B$2:$B$500,$K77,Rezultatai!$A$2:$A$500,(Reitingai!$C$2-1),Rezultatai!$D$2:$D$500,"&lt;&gt;Papildomi (R+)")+MIN(SUMIFS(Rezultatai!$J$2:$J$500,Rezultatai!$B$2:$B$500,$K77,Rezultatai!$A$2:$A$500,(Reitingai!$C$2-1),Rezultatai!$D$2:$D$500,"Papildomi (R+)"),0.15*(SUMIFS(Rezultatai!$J$2:$J$500,Rezultatai!$B$2:$B$500,$K77,Rezultatai!$A$2:$A$500,(Reitingai!$C$2-1),Rezultatai!$D$2:$D$500,"&lt;&gt;Papildomi (R+)"))))*MIN(550,450+(1/35)*(SUMIFS(Parametrai!$B$2:$B$40,Parametrai!$A$2:$A$40,(Reitingai!$C$2-1))-2500))))</f>
        <v/>
      </c>
      <c r="O77" s="17" t="str">
        <f t="shared" si="28"/>
        <v/>
      </c>
      <c r="P77" s="17" t="str">
        <f t="shared" si="29"/>
        <v/>
      </c>
      <c r="Q77" s="17" t="str">
        <f>IF($K77="","",$O77+COUNTIF($O$6:$O77,$O77)-1)</f>
        <v/>
      </c>
    </row>
    <row r="78" spans="1:17" ht="15" customHeight="1" x14ac:dyDescent="0.3">
      <c r="A78" s="13" t="str">
        <f>IFERROR(MATCH(73,$Q$6:$Q$105,0),"")</f>
        <v/>
      </c>
      <c r="B78" s="13" t="str">
        <f t="shared" si="20"/>
        <v/>
      </c>
      <c r="C78" s="13" t="str">
        <f t="shared" si="21"/>
        <v/>
      </c>
      <c r="D78" s="13" t="str">
        <f t="shared" si="22"/>
        <v/>
      </c>
      <c r="E78" s="16" t="str">
        <f t="shared" si="23"/>
        <v/>
      </c>
      <c r="F78" s="30" t="str">
        <f t="shared" si="24"/>
        <v/>
      </c>
      <c r="G78" s="14" t="str">
        <f t="shared" si="25"/>
        <v/>
      </c>
      <c r="H78" s="14" t="str">
        <f t="shared" si="26"/>
        <v/>
      </c>
      <c r="I78" s="31" t="str">
        <f t="shared" si="27"/>
        <v/>
      </c>
      <c r="K78" s="17" t="str">
        <f>IF(Pilotai!B74="","",Pilotai!B74)</f>
        <v/>
      </c>
      <c r="L78" s="17" t="str">
        <f>IF($K78="","",Pilotai!C74)</f>
        <v/>
      </c>
      <c r="M78" s="18" t="str">
        <f>IF($K78="","",IFERROR(INDEX(Reitingai!$G$6:$G$105,MATCH($K78,Reitingai!$B$6:$B$105,0)),0))</f>
        <v/>
      </c>
      <c r="N78" s="18" t="str">
        <f>IF($K78="","",SUM((SUMIFS(Rezultatai!$J$2:$J$500,Rezultatai!$B$2:$B$500,$K78,Rezultatai!$A$2:$A$500,((Reitingai!$C$2-1)-2),Rezultatai!$D$2:$D$500,"&lt;&gt;Papildomi (R+)")+MIN(SUMIFS(Rezultatai!$J$2:$J$500,Rezultatai!$B$2:$B$500,$K78,Rezultatai!$A$2:$A$500,((Reitingai!$C$2-1)-2),Rezultatai!$D$2:$D$500,"Papildomi (R+)"),0.15*(SUMIFS(Rezultatai!$J$2:$J$500,Rezultatai!$B$2:$B$500,$K78,Rezultatai!$A$2:$A$500,((Reitingai!$C$2-1)-2),Rezultatai!$D$2:$D$500,"&lt;&gt;Papildomi (R+)"))))*MIN(425,375+(1/70)*(SUMIFS(Parametrai!$B$2:$B$40,Parametrai!$A$2:$A$40,((Reitingai!$C$2-1)-2))-2500)),(SUMIFS(Rezultatai!$J$2:$J$500,Rezultatai!$B$2:$B$500,$K78,Rezultatai!$A$2:$A$500,((Reitingai!$C$2-1)-1),Rezultatai!$D$2:$D$500,"&lt;&gt;Papildomi (R+)")+MIN(SUMIFS(Rezultatai!$J$2:$J$500,Rezultatai!$B$2:$B$500,$K78,Rezultatai!$A$2:$A$500,((Reitingai!$C$2-1)-1),Rezultatai!$D$2:$D$500,"Papildomi (R+)"),0.15*(SUMIFS(Rezultatai!$J$2:$J$500,Rezultatai!$B$2:$B$500,$K78,Rezultatai!$A$2:$A$500,((Reitingai!$C$2-1)-1),Rezultatai!$D$2:$D$500,"&lt;&gt;Papildomi (R+)"))))*MIN(450,400+(1/70)*(SUMIFS(Parametrai!$B$2:$B$40,Parametrai!$A$2:$A$40,((Reitingai!$C$2-1)-1))-2500)),(SUMIFS(Rezultatai!$J$2:$J$500,Rezultatai!$B$2:$B$500,$K78,Rezultatai!$A$2:$A$500,(Reitingai!$C$2-1),Rezultatai!$D$2:$D$500,"&lt;&gt;Papildomi (R+)")+MIN(SUMIFS(Rezultatai!$J$2:$J$500,Rezultatai!$B$2:$B$500,$K78,Rezultatai!$A$2:$A$500,(Reitingai!$C$2-1),Rezultatai!$D$2:$D$500,"Papildomi (R+)"),0.15*(SUMIFS(Rezultatai!$J$2:$J$500,Rezultatai!$B$2:$B$500,$K78,Rezultatai!$A$2:$A$500,(Reitingai!$C$2-1),Rezultatai!$D$2:$D$500,"&lt;&gt;Papildomi (R+)"))))*MIN(550,450+(1/35)*(SUMIFS(Parametrai!$B$2:$B$40,Parametrai!$A$2:$A$40,(Reitingai!$C$2-1))-2500)))-MIN((SUMIFS(Rezultatai!$J$2:$J$500,Rezultatai!$B$2:$B$500,$K78,Rezultatai!$A$2:$A$500,((Reitingai!$C$2-1)-2),Rezultatai!$D$2:$D$500,"&lt;&gt;Papildomi (R+)")+MIN(SUMIFS(Rezultatai!$J$2:$J$500,Rezultatai!$B$2:$B$500,$K78,Rezultatai!$A$2:$A$500,((Reitingai!$C$2-1)-2),Rezultatai!$D$2:$D$500,"Papildomi (R+)"),0.15*(SUMIFS(Rezultatai!$J$2:$J$500,Rezultatai!$B$2:$B$500,$K78,Rezultatai!$A$2:$A$500,((Reitingai!$C$2-1)-2),Rezultatai!$D$2:$D$500,"&lt;&gt;Papildomi (R+)"))))*MIN(425,375+(1/70)*(SUMIFS(Parametrai!$B$2:$B$40,Parametrai!$A$2:$A$40,((Reitingai!$C$2-1)-2))-2500)),(SUMIFS(Rezultatai!$J$2:$J$500,Rezultatai!$B$2:$B$500,$K78,Rezultatai!$A$2:$A$500,((Reitingai!$C$2-1)-1),Rezultatai!$D$2:$D$500,"&lt;&gt;Papildomi (R+)")+MIN(SUMIFS(Rezultatai!$J$2:$J$500,Rezultatai!$B$2:$B$500,$K78,Rezultatai!$A$2:$A$500,((Reitingai!$C$2-1)-1),Rezultatai!$D$2:$D$500,"Papildomi (R+)"),0.15*(SUMIFS(Rezultatai!$J$2:$J$500,Rezultatai!$B$2:$B$500,$K78,Rezultatai!$A$2:$A$500,((Reitingai!$C$2-1)-1),Rezultatai!$D$2:$D$500,"&lt;&gt;Papildomi (R+)"))))*MIN(450,400+(1/70)*(SUMIFS(Parametrai!$B$2:$B$40,Parametrai!$A$2:$A$40,((Reitingai!$C$2-1)-1))-2500)),(SUMIFS(Rezultatai!$J$2:$J$500,Rezultatai!$B$2:$B$500,$K78,Rezultatai!$A$2:$A$500,(Reitingai!$C$2-1),Rezultatai!$D$2:$D$500,"&lt;&gt;Papildomi (R+)")+MIN(SUMIFS(Rezultatai!$J$2:$J$500,Rezultatai!$B$2:$B$500,$K78,Rezultatai!$A$2:$A$500,(Reitingai!$C$2-1),Rezultatai!$D$2:$D$500,"Papildomi (R+)"),0.15*(SUMIFS(Rezultatai!$J$2:$J$500,Rezultatai!$B$2:$B$500,$K78,Rezultatai!$A$2:$A$500,(Reitingai!$C$2-1),Rezultatai!$D$2:$D$500,"&lt;&gt;Papildomi (R+)"))))*MIN(550,450+(1/35)*(SUMIFS(Parametrai!$B$2:$B$40,Parametrai!$A$2:$A$40,(Reitingai!$C$2-1))-2500))))</f>
        <v/>
      </c>
      <c r="O78" s="17" t="str">
        <f t="shared" si="28"/>
        <v/>
      </c>
      <c r="P78" s="17" t="str">
        <f t="shared" si="29"/>
        <v/>
      </c>
      <c r="Q78" s="17" t="str">
        <f>IF($K78="","",$O78+COUNTIF($O$6:$O78,$O78)-1)</f>
        <v/>
      </c>
    </row>
    <row r="79" spans="1:17" ht="15" customHeight="1" x14ac:dyDescent="0.3">
      <c r="A79" s="13" t="str">
        <f>IFERROR(MATCH(74,$Q$6:$Q$105,0),"")</f>
        <v/>
      </c>
      <c r="B79" s="13" t="str">
        <f t="shared" si="20"/>
        <v/>
      </c>
      <c r="C79" s="13" t="str">
        <f t="shared" si="21"/>
        <v/>
      </c>
      <c r="D79" s="13" t="str">
        <f t="shared" si="22"/>
        <v/>
      </c>
      <c r="E79" s="16" t="str">
        <f t="shared" si="23"/>
        <v/>
      </c>
      <c r="F79" s="30" t="str">
        <f t="shared" si="24"/>
        <v/>
      </c>
      <c r="G79" s="14" t="str">
        <f t="shared" si="25"/>
        <v/>
      </c>
      <c r="H79" s="14" t="str">
        <f t="shared" si="26"/>
        <v/>
      </c>
      <c r="I79" s="31" t="str">
        <f t="shared" si="27"/>
        <v/>
      </c>
      <c r="K79" s="17" t="str">
        <f>IF(Pilotai!B75="","",Pilotai!B75)</f>
        <v/>
      </c>
      <c r="L79" s="17" t="str">
        <f>IF($K79="","",Pilotai!C75)</f>
        <v/>
      </c>
      <c r="M79" s="18" t="str">
        <f>IF($K79="","",IFERROR(INDEX(Reitingai!$G$6:$G$105,MATCH($K79,Reitingai!$B$6:$B$105,0)),0))</f>
        <v/>
      </c>
      <c r="N79" s="18" t="str">
        <f>IF($K79="","",SUM((SUMIFS(Rezultatai!$J$2:$J$500,Rezultatai!$B$2:$B$500,$K79,Rezultatai!$A$2:$A$500,((Reitingai!$C$2-1)-2),Rezultatai!$D$2:$D$500,"&lt;&gt;Papildomi (R+)")+MIN(SUMIFS(Rezultatai!$J$2:$J$500,Rezultatai!$B$2:$B$500,$K79,Rezultatai!$A$2:$A$500,((Reitingai!$C$2-1)-2),Rezultatai!$D$2:$D$500,"Papildomi (R+)"),0.15*(SUMIFS(Rezultatai!$J$2:$J$500,Rezultatai!$B$2:$B$500,$K79,Rezultatai!$A$2:$A$500,((Reitingai!$C$2-1)-2),Rezultatai!$D$2:$D$500,"&lt;&gt;Papildomi (R+)"))))*MIN(425,375+(1/70)*(SUMIFS(Parametrai!$B$2:$B$40,Parametrai!$A$2:$A$40,((Reitingai!$C$2-1)-2))-2500)),(SUMIFS(Rezultatai!$J$2:$J$500,Rezultatai!$B$2:$B$500,$K79,Rezultatai!$A$2:$A$500,((Reitingai!$C$2-1)-1),Rezultatai!$D$2:$D$500,"&lt;&gt;Papildomi (R+)")+MIN(SUMIFS(Rezultatai!$J$2:$J$500,Rezultatai!$B$2:$B$500,$K79,Rezultatai!$A$2:$A$500,((Reitingai!$C$2-1)-1),Rezultatai!$D$2:$D$500,"Papildomi (R+)"),0.15*(SUMIFS(Rezultatai!$J$2:$J$500,Rezultatai!$B$2:$B$500,$K79,Rezultatai!$A$2:$A$500,((Reitingai!$C$2-1)-1),Rezultatai!$D$2:$D$500,"&lt;&gt;Papildomi (R+)"))))*MIN(450,400+(1/70)*(SUMIFS(Parametrai!$B$2:$B$40,Parametrai!$A$2:$A$40,((Reitingai!$C$2-1)-1))-2500)),(SUMIFS(Rezultatai!$J$2:$J$500,Rezultatai!$B$2:$B$500,$K79,Rezultatai!$A$2:$A$500,(Reitingai!$C$2-1),Rezultatai!$D$2:$D$500,"&lt;&gt;Papildomi (R+)")+MIN(SUMIFS(Rezultatai!$J$2:$J$500,Rezultatai!$B$2:$B$500,$K79,Rezultatai!$A$2:$A$500,(Reitingai!$C$2-1),Rezultatai!$D$2:$D$500,"Papildomi (R+)"),0.15*(SUMIFS(Rezultatai!$J$2:$J$500,Rezultatai!$B$2:$B$500,$K79,Rezultatai!$A$2:$A$500,(Reitingai!$C$2-1),Rezultatai!$D$2:$D$500,"&lt;&gt;Papildomi (R+)"))))*MIN(550,450+(1/35)*(SUMIFS(Parametrai!$B$2:$B$40,Parametrai!$A$2:$A$40,(Reitingai!$C$2-1))-2500)))-MIN((SUMIFS(Rezultatai!$J$2:$J$500,Rezultatai!$B$2:$B$500,$K79,Rezultatai!$A$2:$A$500,((Reitingai!$C$2-1)-2),Rezultatai!$D$2:$D$500,"&lt;&gt;Papildomi (R+)")+MIN(SUMIFS(Rezultatai!$J$2:$J$500,Rezultatai!$B$2:$B$500,$K79,Rezultatai!$A$2:$A$500,((Reitingai!$C$2-1)-2),Rezultatai!$D$2:$D$500,"Papildomi (R+)"),0.15*(SUMIFS(Rezultatai!$J$2:$J$500,Rezultatai!$B$2:$B$500,$K79,Rezultatai!$A$2:$A$500,((Reitingai!$C$2-1)-2),Rezultatai!$D$2:$D$500,"&lt;&gt;Papildomi (R+)"))))*MIN(425,375+(1/70)*(SUMIFS(Parametrai!$B$2:$B$40,Parametrai!$A$2:$A$40,((Reitingai!$C$2-1)-2))-2500)),(SUMIFS(Rezultatai!$J$2:$J$500,Rezultatai!$B$2:$B$500,$K79,Rezultatai!$A$2:$A$500,((Reitingai!$C$2-1)-1),Rezultatai!$D$2:$D$500,"&lt;&gt;Papildomi (R+)")+MIN(SUMIFS(Rezultatai!$J$2:$J$500,Rezultatai!$B$2:$B$500,$K79,Rezultatai!$A$2:$A$500,((Reitingai!$C$2-1)-1),Rezultatai!$D$2:$D$500,"Papildomi (R+)"),0.15*(SUMIFS(Rezultatai!$J$2:$J$500,Rezultatai!$B$2:$B$500,$K79,Rezultatai!$A$2:$A$500,((Reitingai!$C$2-1)-1),Rezultatai!$D$2:$D$500,"&lt;&gt;Papildomi (R+)"))))*MIN(450,400+(1/70)*(SUMIFS(Parametrai!$B$2:$B$40,Parametrai!$A$2:$A$40,((Reitingai!$C$2-1)-1))-2500)),(SUMIFS(Rezultatai!$J$2:$J$500,Rezultatai!$B$2:$B$500,$K79,Rezultatai!$A$2:$A$500,(Reitingai!$C$2-1),Rezultatai!$D$2:$D$500,"&lt;&gt;Papildomi (R+)")+MIN(SUMIFS(Rezultatai!$J$2:$J$500,Rezultatai!$B$2:$B$500,$K79,Rezultatai!$A$2:$A$500,(Reitingai!$C$2-1),Rezultatai!$D$2:$D$500,"Papildomi (R+)"),0.15*(SUMIFS(Rezultatai!$J$2:$J$500,Rezultatai!$B$2:$B$500,$K79,Rezultatai!$A$2:$A$500,(Reitingai!$C$2-1),Rezultatai!$D$2:$D$500,"&lt;&gt;Papildomi (R+)"))))*MIN(550,450+(1/35)*(SUMIFS(Parametrai!$B$2:$B$40,Parametrai!$A$2:$A$40,(Reitingai!$C$2-1))-2500))))</f>
        <v/>
      </c>
      <c r="O79" s="17" t="str">
        <f t="shared" si="28"/>
        <v/>
      </c>
      <c r="P79" s="17" t="str">
        <f t="shared" si="29"/>
        <v/>
      </c>
      <c r="Q79" s="17" t="str">
        <f>IF($K79="","",$O79+COUNTIF($O$6:$O79,$O79)-1)</f>
        <v/>
      </c>
    </row>
    <row r="80" spans="1:17" ht="15" customHeight="1" x14ac:dyDescent="0.3">
      <c r="A80" s="13" t="str">
        <f>IFERROR(MATCH(75,$Q$6:$Q$105,0),"")</f>
        <v/>
      </c>
      <c r="B80" s="13" t="str">
        <f t="shared" si="20"/>
        <v/>
      </c>
      <c r="C80" s="13" t="str">
        <f t="shared" si="21"/>
        <v/>
      </c>
      <c r="D80" s="13" t="str">
        <f t="shared" si="22"/>
        <v/>
      </c>
      <c r="E80" s="16" t="str">
        <f t="shared" si="23"/>
        <v/>
      </c>
      <c r="F80" s="30" t="str">
        <f t="shared" si="24"/>
        <v/>
      </c>
      <c r="G80" s="14" t="str">
        <f t="shared" si="25"/>
        <v/>
      </c>
      <c r="H80" s="14" t="str">
        <f t="shared" si="26"/>
        <v/>
      </c>
      <c r="I80" s="31" t="str">
        <f t="shared" si="27"/>
        <v/>
      </c>
      <c r="K80" s="17" t="str">
        <f>IF(Pilotai!B76="","",Pilotai!B76)</f>
        <v/>
      </c>
      <c r="L80" s="17" t="str">
        <f>IF($K80="","",Pilotai!C76)</f>
        <v/>
      </c>
      <c r="M80" s="18" t="str">
        <f>IF($K80="","",IFERROR(INDEX(Reitingai!$G$6:$G$105,MATCH($K80,Reitingai!$B$6:$B$105,0)),0))</f>
        <v/>
      </c>
      <c r="N80" s="18" t="str">
        <f>IF($K80="","",SUM((SUMIFS(Rezultatai!$J$2:$J$500,Rezultatai!$B$2:$B$500,$K80,Rezultatai!$A$2:$A$500,((Reitingai!$C$2-1)-2),Rezultatai!$D$2:$D$500,"&lt;&gt;Papildomi (R+)")+MIN(SUMIFS(Rezultatai!$J$2:$J$500,Rezultatai!$B$2:$B$500,$K80,Rezultatai!$A$2:$A$500,((Reitingai!$C$2-1)-2),Rezultatai!$D$2:$D$500,"Papildomi (R+)"),0.15*(SUMIFS(Rezultatai!$J$2:$J$500,Rezultatai!$B$2:$B$500,$K80,Rezultatai!$A$2:$A$500,((Reitingai!$C$2-1)-2),Rezultatai!$D$2:$D$500,"&lt;&gt;Papildomi (R+)"))))*MIN(425,375+(1/70)*(SUMIFS(Parametrai!$B$2:$B$40,Parametrai!$A$2:$A$40,((Reitingai!$C$2-1)-2))-2500)),(SUMIFS(Rezultatai!$J$2:$J$500,Rezultatai!$B$2:$B$500,$K80,Rezultatai!$A$2:$A$500,((Reitingai!$C$2-1)-1),Rezultatai!$D$2:$D$500,"&lt;&gt;Papildomi (R+)")+MIN(SUMIFS(Rezultatai!$J$2:$J$500,Rezultatai!$B$2:$B$500,$K80,Rezultatai!$A$2:$A$500,((Reitingai!$C$2-1)-1),Rezultatai!$D$2:$D$500,"Papildomi (R+)"),0.15*(SUMIFS(Rezultatai!$J$2:$J$500,Rezultatai!$B$2:$B$500,$K80,Rezultatai!$A$2:$A$500,((Reitingai!$C$2-1)-1),Rezultatai!$D$2:$D$500,"&lt;&gt;Papildomi (R+)"))))*MIN(450,400+(1/70)*(SUMIFS(Parametrai!$B$2:$B$40,Parametrai!$A$2:$A$40,((Reitingai!$C$2-1)-1))-2500)),(SUMIFS(Rezultatai!$J$2:$J$500,Rezultatai!$B$2:$B$500,$K80,Rezultatai!$A$2:$A$500,(Reitingai!$C$2-1),Rezultatai!$D$2:$D$500,"&lt;&gt;Papildomi (R+)")+MIN(SUMIFS(Rezultatai!$J$2:$J$500,Rezultatai!$B$2:$B$500,$K80,Rezultatai!$A$2:$A$500,(Reitingai!$C$2-1),Rezultatai!$D$2:$D$500,"Papildomi (R+)"),0.15*(SUMIFS(Rezultatai!$J$2:$J$500,Rezultatai!$B$2:$B$500,$K80,Rezultatai!$A$2:$A$500,(Reitingai!$C$2-1),Rezultatai!$D$2:$D$500,"&lt;&gt;Papildomi (R+)"))))*MIN(550,450+(1/35)*(SUMIFS(Parametrai!$B$2:$B$40,Parametrai!$A$2:$A$40,(Reitingai!$C$2-1))-2500)))-MIN((SUMIFS(Rezultatai!$J$2:$J$500,Rezultatai!$B$2:$B$500,$K80,Rezultatai!$A$2:$A$500,((Reitingai!$C$2-1)-2),Rezultatai!$D$2:$D$500,"&lt;&gt;Papildomi (R+)")+MIN(SUMIFS(Rezultatai!$J$2:$J$500,Rezultatai!$B$2:$B$500,$K80,Rezultatai!$A$2:$A$500,((Reitingai!$C$2-1)-2),Rezultatai!$D$2:$D$500,"Papildomi (R+)"),0.15*(SUMIFS(Rezultatai!$J$2:$J$500,Rezultatai!$B$2:$B$500,$K80,Rezultatai!$A$2:$A$500,((Reitingai!$C$2-1)-2),Rezultatai!$D$2:$D$500,"&lt;&gt;Papildomi (R+)"))))*MIN(425,375+(1/70)*(SUMIFS(Parametrai!$B$2:$B$40,Parametrai!$A$2:$A$40,((Reitingai!$C$2-1)-2))-2500)),(SUMIFS(Rezultatai!$J$2:$J$500,Rezultatai!$B$2:$B$500,$K80,Rezultatai!$A$2:$A$500,((Reitingai!$C$2-1)-1),Rezultatai!$D$2:$D$500,"&lt;&gt;Papildomi (R+)")+MIN(SUMIFS(Rezultatai!$J$2:$J$500,Rezultatai!$B$2:$B$500,$K80,Rezultatai!$A$2:$A$500,((Reitingai!$C$2-1)-1),Rezultatai!$D$2:$D$500,"Papildomi (R+)"),0.15*(SUMIFS(Rezultatai!$J$2:$J$500,Rezultatai!$B$2:$B$500,$K80,Rezultatai!$A$2:$A$500,((Reitingai!$C$2-1)-1),Rezultatai!$D$2:$D$500,"&lt;&gt;Papildomi (R+)"))))*MIN(450,400+(1/70)*(SUMIFS(Parametrai!$B$2:$B$40,Parametrai!$A$2:$A$40,((Reitingai!$C$2-1)-1))-2500)),(SUMIFS(Rezultatai!$J$2:$J$500,Rezultatai!$B$2:$B$500,$K80,Rezultatai!$A$2:$A$500,(Reitingai!$C$2-1),Rezultatai!$D$2:$D$500,"&lt;&gt;Papildomi (R+)")+MIN(SUMIFS(Rezultatai!$J$2:$J$500,Rezultatai!$B$2:$B$500,$K80,Rezultatai!$A$2:$A$500,(Reitingai!$C$2-1),Rezultatai!$D$2:$D$500,"Papildomi (R+)"),0.15*(SUMIFS(Rezultatai!$J$2:$J$500,Rezultatai!$B$2:$B$500,$K80,Rezultatai!$A$2:$A$500,(Reitingai!$C$2-1),Rezultatai!$D$2:$D$500,"&lt;&gt;Papildomi (R+)"))))*MIN(550,450+(1/35)*(SUMIFS(Parametrai!$B$2:$B$40,Parametrai!$A$2:$A$40,(Reitingai!$C$2-1))-2500))))</f>
        <v/>
      </c>
      <c r="O80" s="17" t="str">
        <f t="shared" si="28"/>
        <v/>
      </c>
      <c r="P80" s="17" t="str">
        <f t="shared" si="29"/>
        <v/>
      </c>
      <c r="Q80" s="17" t="str">
        <f>IF($K80="","",$O80+COUNTIF($O$6:$O80,$O80)-1)</f>
        <v/>
      </c>
    </row>
    <row r="81" spans="1:17" ht="15" customHeight="1" x14ac:dyDescent="0.3">
      <c r="A81" s="13" t="str">
        <f>IFERROR(MATCH(76,$Q$6:$Q$105,0),"")</f>
        <v/>
      </c>
      <c r="B81" s="13" t="str">
        <f t="shared" si="20"/>
        <v/>
      </c>
      <c r="C81" s="13" t="str">
        <f t="shared" si="21"/>
        <v/>
      </c>
      <c r="D81" s="13" t="str">
        <f t="shared" si="22"/>
        <v/>
      </c>
      <c r="E81" s="16" t="str">
        <f t="shared" si="23"/>
        <v/>
      </c>
      <c r="F81" s="30" t="str">
        <f t="shared" si="24"/>
        <v/>
      </c>
      <c r="G81" s="14" t="str">
        <f t="shared" si="25"/>
        <v/>
      </c>
      <c r="H81" s="14" t="str">
        <f t="shared" si="26"/>
        <v/>
      </c>
      <c r="I81" s="31" t="str">
        <f t="shared" si="27"/>
        <v/>
      </c>
      <c r="K81" s="17" t="str">
        <f>IF(Pilotai!B77="","",Pilotai!B77)</f>
        <v/>
      </c>
      <c r="L81" s="17" t="str">
        <f>IF($K81="","",Pilotai!C77)</f>
        <v/>
      </c>
      <c r="M81" s="18" t="str">
        <f>IF($K81="","",IFERROR(INDEX(Reitingai!$G$6:$G$105,MATCH($K81,Reitingai!$B$6:$B$105,0)),0))</f>
        <v/>
      </c>
      <c r="N81" s="18" t="str">
        <f>IF($K81="","",SUM((SUMIFS(Rezultatai!$J$2:$J$500,Rezultatai!$B$2:$B$500,$K81,Rezultatai!$A$2:$A$500,((Reitingai!$C$2-1)-2),Rezultatai!$D$2:$D$500,"&lt;&gt;Papildomi (R+)")+MIN(SUMIFS(Rezultatai!$J$2:$J$500,Rezultatai!$B$2:$B$500,$K81,Rezultatai!$A$2:$A$500,((Reitingai!$C$2-1)-2),Rezultatai!$D$2:$D$500,"Papildomi (R+)"),0.15*(SUMIFS(Rezultatai!$J$2:$J$500,Rezultatai!$B$2:$B$500,$K81,Rezultatai!$A$2:$A$500,((Reitingai!$C$2-1)-2),Rezultatai!$D$2:$D$500,"&lt;&gt;Papildomi (R+)"))))*MIN(425,375+(1/70)*(SUMIFS(Parametrai!$B$2:$B$40,Parametrai!$A$2:$A$40,((Reitingai!$C$2-1)-2))-2500)),(SUMIFS(Rezultatai!$J$2:$J$500,Rezultatai!$B$2:$B$500,$K81,Rezultatai!$A$2:$A$500,((Reitingai!$C$2-1)-1),Rezultatai!$D$2:$D$500,"&lt;&gt;Papildomi (R+)")+MIN(SUMIFS(Rezultatai!$J$2:$J$500,Rezultatai!$B$2:$B$500,$K81,Rezultatai!$A$2:$A$500,((Reitingai!$C$2-1)-1),Rezultatai!$D$2:$D$500,"Papildomi (R+)"),0.15*(SUMIFS(Rezultatai!$J$2:$J$500,Rezultatai!$B$2:$B$500,$K81,Rezultatai!$A$2:$A$500,((Reitingai!$C$2-1)-1),Rezultatai!$D$2:$D$500,"&lt;&gt;Papildomi (R+)"))))*MIN(450,400+(1/70)*(SUMIFS(Parametrai!$B$2:$B$40,Parametrai!$A$2:$A$40,((Reitingai!$C$2-1)-1))-2500)),(SUMIFS(Rezultatai!$J$2:$J$500,Rezultatai!$B$2:$B$500,$K81,Rezultatai!$A$2:$A$500,(Reitingai!$C$2-1),Rezultatai!$D$2:$D$500,"&lt;&gt;Papildomi (R+)")+MIN(SUMIFS(Rezultatai!$J$2:$J$500,Rezultatai!$B$2:$B$500,$K81,Rezultatai!$A$2:$A$500,(Reitingai!$C$2-1),Rezultatai!$D$2:$D$500,"Papildomi (R+)"),0.15*(SUMIFS(Rezultatai!$J$2:$J$500,Rezultatai!$B$2:$B$500,$K81,Rezultatai!$A$2:$A$500,(Reitingai!$C$2-1),Rezultatai!$D$2:$D$500,"&lt;&gt;Papildomi (R+)"))))*MIN(550,450+(1/35)*(SUMIFS(Parametrai!$B$2:$B$40,Parametrai!$A$2:$A$40,(Reitingai!$C$2-1))-2500)))-MIN((SUMIFS(Rezultatai!$J$2:$J$500,Rezultatai!$B$2:$B$500,$K81,Rezultatai!$A$2:$A$500,((Reitingai!$C$2-1)-2),Rezultatai!$D$2:$D$500,"&lt;&gt;Papildomi (R+)")+MIN(SUMIFS(Rezultatai!$J$2:$J$500,Rezultatai!$B$2:$B$500,$K81,Rezultatai!$A$2:$A$500,((Reitingai!$C$2-1)-2),Rezultatai!$D$2:$D$500,"Papildomi (R+)"),0.15*(SUMIFS(Rezultatai!$J$2:$J$500,Rezultatai!$B$2:$B$500,$K81,Rezultatai!$A$2:$A$500,((Reitingai!$C$2-1)-2),Rezultatai!$D$2:$D$500,"&lt;&gt;Papildomi (R+)"))))*MIN(425,375+(1/70)*(SUMIFS(Parametrai!$B$2:$B$40,Parametrai!$A$2:$A$40,((Reitingai!$C$2-1)-2))-2500)),(SUMIFS(Rezultatai!$J$2:$J$500,Rezultatai!$B$2:$B$500,$K81,Rezultatai!$A$2:$A$500,((Reitingai!$C$2-1)-1),Rezultatai!$D$2:$D$500,"&lt;&gt;Papildomi (R+)")+MIN(SUMIFS(Rezultatai!$J$2:$J$500,Rezultatai!$B$2:$B$500,$K81,Rezultatai!$A$2:$A$500,((Reitingai!$C$2-1)-1),Rezultatai!$D$2:$D$500,"Papildomi (R+)"),0.15*(SUMIFS(Rezultatai!$J$2:$J$500,Rezultatai!$B$2:$B$500,$K81,Rezultatai!$A$2:$A$500,((Reitingai!$C$2-1)-1),Rezultatai!$D$2:$D$500,"&lt;&gt;Papildomi (R+)"))))*MIN(450,400+(1/70)*(SUMIFS(Parametrai!$B$2:$B$40,Parametrai!$A$2:$A$40,((Reitingai!$C$2-1)-1))-2500)),(SUMIFS(Rezultatai!$J$2:$J$500,Rezultatai!$B$2:$B$500,$K81,Rezultatai!$A$2:$A$500,(Reitingai!$C$2-1),Rezultatai!$D$2:$D$500,"&lt;&gt;Papildomi (R+)")+MIN(SUMIFS(Rezultatai!$J$2:$J$500,Rezultatai!$B$2:$B$500,$K81,Rezultatai!$A$2:$A$500,(Reitingai!$C$2-1),Rezultatai!$D$2:$D$500,"Papildomi (R+)"),0.15*(SUMIFS(Rezultatai!$J$2:$J$500,Rezultatai!$B$2:$B$500,$K81,Rezultatai!$A$2:$A$500,(Reitingai!$C$2-1),Rezultatai!$D$2:$D$500,"&lt;&gt;Papildomi (R+)"))))*MIN(550,450+(1/35)*(SUMIFS(Parametrai!$B$2:$B$40,Parametrai!$A$2:$A$40,(Reitingai!$C$2-1))-2500))))</f>
        <v/>
      </c>
      <c r="O81" s="17" t="str">
        <f t="shared" si="28"/>
        <v/>
      </c>
      <c r="P81" s="17" t="str">
        <f t="shared" si="29"/>
        <v/>
      </c>
      <c r="Q81" s="17" t="str">
        <f>IF($K81="","",$O81+COUNTIF($O$6:$O81,$O81)-1)</f>
        <v/>
      </c>
    </row>
    <row r="82" spans="1:17" ht="15" customHeight="1" x14ac:dyDescent="0.3">
      <c r="A82" s="13" t="str">
        <f>IFERROR(MATCH(77,$Q$6:$Q$105,0),"")</f>
        <v/>
      </c>
      <c r="B82" s="13" t="str">
        <f t="shared" si="20"/>
        <v/>
      </c>
      <c r="C82" s="13" t="str">
        <f t="shared" si="21"/>
        <v/>
      </c>
      <c r="D82" s="13" t="str">
        <f t="shared" si="22"/>
        <v/>
      </c>
      <c r="E82" s="16" t="str">
        <f t="shared" si="23"/>
        <v/>
      </c>
      <c r="F82" s="30" t="str">
        <f t="shared" si="24"/>
        <v/>
      </c>
      <c r="G82" s="14" t="str">
        <f t="shared" si="25"/>
        <v/>
      </c>
      <c r="H82" s="14" t="str">
        <f t="shared" si="26"/>
        <v/>
      </c>
      <c r="I82" s="31" t="str">
        <f t="shared" si="27"/>
        <v/>
      </c>
      <c r="K82" s="17" t="str">
        <f>IF(Pilotai!B78="","",Pilotai!B78)</f>
        <v/>
      </c>
      <c r="L82" s="17" t="str">
        <f>IF($K82="","",Pilotai!C78)</f>
        <v/>
      </c>
      <c r="M82" s="18" t="str">
        <f>IF($K82="","",IFERROR(INDEX(Reitingai!$G$6:$G$105,MATCH($K82,Reitingai!$B$6:$B$105,0)),0))</f>
        <v/>
      </c>
      <c r="N82" s="18" t="str">
        <f>IF($K82="","",SUM((SUMIFS(Rezultatai!$J$2:$J$500,Rezultatai!$B$2:$B$500,$K82,Rezultatai!$A$2:$A$500,((Reitingai!$C$2-1)-2),Rezultatai!$D$2:$D$500,"&lt;&gt;Papildomi (R+)")+MIN(SUMIFS(Rezultatai!$J$2:$J$500,Rezultatai!$B$2:$B$500,$K82,Rezultatai!$A$2:$A$500,((Reitingai!$C$2-1)-2),Rezultatai!$D$2:$D$500,"Papildomi (R+)"),0.15*(SUMIFS(Rezultatai!$J$2:$J$500,Rezultatai!$B$2:$B$500,$K82,Rezultatai!$A$2:$A$500,((Reitingai!$C$2-1)-2),Rezultatai!$D$2:$D$500,"&lt;&gt;Papildomi (R+)"))))*MIN(425,375+(1/70)*(SUMIFS(Parametrai!$B$2:$B$40,Parametrai!$A$2:$A$40,((Reitingai!$C$2-1)-2))-2500)),(SUMIFS(Rezultatai!$J$2:$J$500,Rezultatai!$B$2:$B$500,$K82,Rezultatai!$A$2:$A$500,((Reitingai!$C$2-1)-1),Rezultatai!$D$2:$D$500,"&lt;&gt;Papildomi (R+)")+MIN(SUMIFS(Rezultatai!$J$2:$J$500,Rezultatai!$B$2:$B$500,$K82,Rezultatai!$A$2:$A$500,((Reitingai!$C$2-1)-1),Rezultatai!$D$2:$D$500,"Papildomi (R+)"),0.15*(SUMIFS(Rezultatai!$J$2:$J$500,Rezultatai!$B$2:$B$500,$K82,Rezultatai!$A$2:$A$500,((Reitingai!$C$2-1)-1),Rezultatai!$D$2:$D$500,"&lt;&gt;Papildomi (R+)"))))*MIN(450,400+(1/70)*(SUMIFS(Parametrai!$B$2:$B$40,Parametrai!$A$2:$A$40,((Reitingai!$C$2-1)-1))-2500)),(SUMIFS(Rezultatai!$J$2:$J$500,Rezultatai!$B$2:$B$500,$K82,Rezultatai!$A$2:$A$500,(Reitingai!$C$2-1),Rezultatai!$D$2:$D$500,"&lt;&gt;Papildomi (R+)")+MIN(SUMIFS(Rezultatai!$J$2:$J$500,Rezultatai!$B$2:$B$500,$K82,Rezultatai!$A$2:$A$500,(Reitingai!$C$2-1),Rezultatai!$D$2:$D$500,"Papildomi (R+)"),0.15*(SUMIFS(Rezultatai!$J$2:$J$500,Rezultatai!$B$2:$B$500,$K82,Rezultatai!$A$2:$A$500,(Reitingai!$C$2-1),Rezultatai!$D$2:$D$500,"&lt;&gt;Papildomi (R+)"))))*MIN(550,450+(1/35)*(SUMIFS(Parametrai!$B$2:$B$40,Parametrai!$A$2:$A$40,(Reitingai!$C$2-1))-2500)))-MIN((SUMIFS(Rezultatai!$J$2:$J$500,Rezultatai!$B$2:$B$500,$K82,Rezultatai!$A$2:$A$500,((Reitingai!$C$2-1)-2),Rezultatai!$D$2:$D$500,"&lt;&gt;Papildomi (R+)")+MIN(SUMIFS(Rezultatai!$J$2:$J$500,Rezultatai!$B$2:$B$500,$K82,Rezultatai!$A$2:$A$500,((Reitingai!$C$2-1)-2),Rezultatai!$D$2:$D$500,"Papildomi (R+)"),0.15*(SUMIFS(Rezultatai!$J$2:$J$500,Rezultatai!$B$2:$B$500,$K82,Rezultatai!$A$2:$A$500,((Reitingai!$C$2-1)-2),Rezultatai!$D$2:$D$500,"&lt;&gt;Papildomi (R+)"))))*MIN(425,375+(1/70)*(SUMIFS(Parametrai!$B$2:$B$40,Parametrai!$A$2:$A$40,((Reitingai!$C$2-1)-2))-2500)),(SUMIFS(Rezultatai!$J$2:$J$500,Rezultatai!$B$2:$B$500,$K82,Rezultatai!$A$2:$A$500,((Reitingai!$C$2-1)-1),Rezultatai!$D$2:$D$500,"&lt;&gt;Papildomi (R+)")+MIN(SUMIFS(Rezultatai!$J$2:$J$500,Rezultatai!$B$2:$B$500,$K82,Rezultatai!$A$2:$A$500,((Reitingai!$C$2-1)-1),Rezultatai!$D$2:$D$500,"Papildomi (R+)"),0.15*(SUMIFS(Rezultatai!$J$2:$J$500,Rezultatai!$B$2:$B$500,$K82,Rezultatai!$A$2:$A$500,((Reitingai!$C$2-1)-1),Rezultatai!$D$2:$D$500,"&lt;&gt;Papildomi (R+)"))))*MIN(450,400+(1/70)*(SUMIFS(Parametrai!$B$2:$B$40,Parametrai!$A$2:$A$40,((Reitingai!$C$2-1)-1))-2500)),(SUMIFS(Rezultatai!$J$2:$J$500,Rezultatai!$B$2:$B$500,$K82,Rezultatai!$A$2:$A$500,(Reitingai!$C$2-1),Rezultatai!$D$2:$D$500,"&lt;&gt;Papildomi (R+)")+MIN(SUMIFS(Rezultatai!$J$2:$J$500,Rezultatai!$B$2:$B$500,$K82,Rezultatai!$A$2:$A$500,(Reitingai!$C$2-1),Rezultatai!$D$2:$D$500,"Papildomi (R+)"),0.15*(SUMIFS(Rezultatai!$J$2:$J$500,Rezultatai!$B$2:$B$500,$K82,Rezultatai!$A$2:$A$500,(Reitingai!$C$2-1),Rezultatai!$D$2:$D$500,"&lt;&gt;Papildomi (R+)"))))*MIN(550,450+(1/35)*(SUMIFS(Parametrai!$B$2:$B$40,Parametrai!$A$2:$A$40,(Reitingai!$C$2-1))-2500))))</f>
        <v/>
      </c>
      <c r="O82" s="17" t="str">
        <f t="shared" si="28"/>
        <v/>
      </c>
      <c r="P82" s="17" t="str">
        <f t="shared" si="29"/>
        <v/>
      </c>
      <c r="Q82" s="17" t="str">
        <f>IF($K82="","",$O82+COUNTIF($O$6:$O82,$O82)-1)</f>
        <v/>
      </c>
    </row>
    <row r="83" spans="1:17" ht="15" customHeight="1" x14ac:dyDescent="0.3">
      <c r="A83" s="13" t="str">
        <f>IFERROR(MATCH(78,$Q$6:$Q$105,0),"")</f>
        <v/>
      </c>
      <c r="B83" s="13" t="str">
        <f t="shared" si="20"/>
        <v/>
      </c>
      <c r="C83" s="13" t="str">
        <f t="shared" si="21"/>
        <v/>
      </c>
      <c r="D83" s="13" t="str">
        <f t="shared" si="22"/>
        <v/>
      </c>
      <c r="E83" s="16" t="str">
        <f t="shared" si="23"/>
        <v/>
      </c>
      <c r="F83" s="30" t="str">
        <f t="shared" si="24"/>
        <v/>
      </c>
      <c r="G83" s="14" t="str">
        <f t="shared" si="25"/>
        <v/>
      </c>
      <c r="H83" s="14" t="str">
        <f t="shared" si="26"/>
        <v/>
      </c>
      <c r="I83" s="31" t="str">
        <f t="shared" si="27"/>
        <v/>
      </c>
      <c r="K83" s="17" t="str">
        <f>IF(Pilotai!B79="","",Pilotai!B79)</f>
        <v/>
      </c>
      <c r="L83" s="17" t="str">
        <f>IF($K83="","",Pilotai!C79)</f>
        <v/>
      </c>
      <c r="M83" s="18" t="str">
        <f>IF($K83="","",IFERROR(INDEX(Reitingai!$G$6:$G$105,MATCH($K83,Reitingai!$B$6:$B$105,0)),0))</f>
        <v/>
      </c>
      <c r="N83" s="18" t="str">
        <f>IF($K83="","",SUM((SUMIFS(Rezultatai!$J$2:$J$500,Rezultatai!$B$2:$B$500,$K83,Rezultatai!$A$2:$A$500,((Reitingai!$C$2-1)-2),Rezultatai!$D$2:$D$500,"&lt;&gt;Papildomi (R+)")+MIN(SUMIFS(Rezultatai!$J$2:$J$500,Rezultatai!$B$2:$B$500,$K83,Rezultatai!$A$2:$A$500,((Reitingai!$C$2-1)-2),Rezultatai!$D$2:$D$500,"Papildomi (R+)"),0.15*(SUMIFS(Rezultatai!$J$2:$J$500,Rezultatai!$B$2:$B$500,$K83,Rezultatai!$A$2:$A$500,((Reitingai!$C$2-1)-2),Rezultatai!$D$2:$D$500,"&lt;&gt;Papildomi (R+)"))))*MIN(425,375+(1/70)*(SUMIFS(Parametrai!$B$2:$B$40,Parametrai!$A$2:$A$40,((Reitingai!$C$2-1)-2))-2500)),(SUMIFS(Rezultatai!$J$2:$J$500,Rezultatai!$B$2:$B$500,$K83,Rezultatai!$A$2:$A$500,((Reitingai!$C$2-1)-1),Rezultatai!$D$2:$D$500,"&lt;&gt;Papildomi (R+)")+MIN(SUMIFS(Rezultatai!$J$2:$J$500,Rezultatai!$B$2:$B$500,$K83,Rezultatai!$A$2:$A$500,((Reitingai!$C$2-1)-1),Rezultatai!$D$2:$D$500,"Papildomi (R+)"),0.15*(SUMIFS(Rezultatai!$J$2:$J$500,Rezultatai!$B$2:$B$500,$K83,Rezultatai!$A$2:$A$500,((Reitingai!$C$2-1)-1),Rezultatai!$D$2:$D$500,"&lt;&gt;Papildomi (R+)"))))*MIN(450,400+(1/70)*(SUMIFS(Parametrai!$B$2:$B$40,Parametrai!$A$2:$A$40,((Reitingai!$C$2-1)-1))-2500)),(SUMIFS(Rezultatai!$J$2:$J$500,Rezultatai!$B$2:$B$500,$K83,Rezultatai!$A$2:$A$500,(Reitingai!$C$2-1),Rezultatai!$D$2:$D$500,"&lt;&gt;Papildomi (R+)")+MIN(SUMIFS(Rezultatai!$J$2:$J$500,Rezultatai!$B$2:$B$500,$K83,Rezultatai!$A$2:$A$500,(Reitingai!$C$2-1),Rezultatai!$D$2:$D$500,"Papildomi (R+)"),0.15*(SUMIFS(Rezultatai!$J$2:$J$500,Rezultatai!$B$2:$B$500,$K83,Rezultatai!$A$2:$A$500,(Reitingai!$C$2-1),Rezultatai!$D$2:$D$500,"&lt;&gt;Papildomi (R+)"))))*MIN(550,450+(1/35)*(SUMIFS(Parametrai!$B$2:$B$40,Parametrai!$A$2:$A$40,(Reitingai!$C$2-1))-2500)))-MIN((SUMIFS(Rezultatai!$J$2:$J$500,Rezultatai!$B$2:$B$500,$K83,Rezultatai!$A$2:$A$500,((Reitingai!$C$2-1)-2),Rezultatai!$D$2:$D$500,"&lt;&gt;Papildomi (R+)")+MIN(SUMIFS(Rezultatai!$J$2:$J$500,Rezultatai!$B$2:$B$500,$K83,Rezultatai!$A$2:$A$500,((Reitingai!$C$2-1)-2),Rezultatai!$D$2:$D$500,"Papildomi (R+)"),0.15*(SUMIFS(Rezultatai!$J$2:$J$500,Rezultatai!$B$2:$B$500,$K83,Rezultatai!$A$2:$A$500,((Reitingai!$C$2-1)-2),Rezultatai!$D$2:$D$500,"&lt;&gt;Papildomi (R+)"))))*MIN(425,375+(1/70)*(SUMIFS(Parametrai!$B$2:$B$40,Parametrai!$A$2:$A$40,((Reitingai!$C$2-1)-2))-2500)),(SUMIFS(Rezultatai!$J$2:$J$500,Rezultatai!$B$2:$B$500,$K83,Rezultatai!$A$2:$A$500,((Reitingai!$C$2-1)-1),Rezultatai!$D$2:$D$500,"&lt;&gt;Papildomi (R+)")+MIN(SUMIFS(Rezultatai!$J$2:$J$500,Rezultatai!$B$2:$B$500,$K83,Rezultatai!$A$2:$A$500,((Reitingai!$C$2-1)-1),Rezultatai!$D$2:$D$500,"Papildomi (R+)"),0.15*(SUMIFS(Rezultatai!$J$2:$J$500,Rezultatai!$B$2:$B$500,$K83,Rezultatai!$A$2:$A$500,((Reitingai!$C$2-1)-1),Rezultatai!$D$2:$D$500,"&lt;&gt;Papildomi (R+)"))))*MIN(450,400+(1/70)*(SUMIFS(Parametrai!$B$2:$B$40,Parametrai!$A$2:$A$40,((Reitingai!$C$2-1)-1))-2500)),(SUMIFS(Rezultatai!$J$2:$J$500,Rezultatai!$B$2:$B$500,$K83,Rezultatai!$A$2:$A$500,(Reitingai!$C$2-1),Rezultatai!$D$2:$D$500,"&lt;&gt;Papildomi (R+)")+MIN(SUMIFS(Rezultatai!$J$2:$J$500,Rezultatai!$B$2:$B$500,$K83,Rezultatai!$A$2:$A$500,(Reitingai!$C$2-1),Rezultatai!$D$2:$D$500,"Papildomi (R+)"),0.15*(SUMIFS(Rezultatai!$J$2:$J$500,Rezultatai!$B$2:$B$500,$K83,Rezultatai!$A$2:$A$500,(Reitingai!$C$2-1),Rezultatai!$D$2:$D$500,"&lt;&gt;Papildomi (R+)"))))*MIN(550,450+(1/35)*(SUMIFS(Parametrai!$B$2:$B$40,Parametrai!$A$2:$A$40,(Reitingai!$C$2-1))-2500))))</f>
        <v/>
      </c>
      <c r="O83" s="17" t="str">
        <f t="shared" si="28"/>
        <v/>
      </c>
      <c r="P83" s="17" t="str">
        <f t="shared" si="29"/>
        <v/>
      </c>
      <c r="Q83" s="17" t="str">
        <f>IF($K83="","",$O83+COUNTIF($O$6:$O83,$O83)-1)</f>
        <v/>
      </c>
    </row>
    <row r="84" spans="1:17" ht="15" customHeight="1" x14ac:dyDescent="0.3">
      <c r="A84" s="13" t="str">
        <f>IFERROR(MATCH(79,$Q$6:$Q$105,0),"")</f>
        <v/>
      </c>
      <c r="B84" s="13" t="str">
        <f t="shared" si="20"/>
        <v/>
      </c>
      <c r="C84" s="13" t="str">
        <f t="shared" si="21"/>
        <v/>
      </c>
      <c r="D84" s="13" t="str">
        <f t="shared" si="22"/>
        <v/>
      </c>
      <c r="E84" s="16" t="str">
        <f t="shared" si="23"/>
        <v/>
      </c>
      <c r="F84" s="30" t="str">
        <f t="shared" si="24"/>
        <v/>
      </c>
      <c r="G84" s="14" t="str">
        <f t="shared" si="25"/>
        <v/>
      </c>
      <c r="H84" s="14" t="str">
        <f t="shared" si="26"/>
        <v/>
      </c>
      <c r="I84" s="31" t="str">
        <f t="shared" si="27"/>
        <v/>
      </c>
      <c r="K84" s="17" t="str">
        <f>IF(Pilotai!B80="","",Pilotai!B80)</f>
        <v/>
      </c>
      <c r="L84" s="17" t="str">
        <f>IF($K84="","",Pilotai!C80)</f>
        <v/>
      </c>
      <c r="M84" s="18" t="str">
        <f>IF($K84="","",IFERROR(INDEX(Reitingai!$G$6:$G$105,MATCH($K84,Reitingai!$B$6:$B$105,0)),0))</f>
        <v/>
      </c>
      <c r="N84" s="18" t="str">
        <f>IF($K84="","",SUM((SUMIFS(Rezultatai!$J$2:$J$500,Rezultatai!$B$2:$B$500,$K84,Rezultatai!$A$2:$A$500,((Reitingai!$C$2-1)-2),Rezultatai!$D$2:$D$500,"&lt;&gt;Papildomi (R+)")+MIN(SUMIFS(Rezultatai!$J$2:$J$500,Rezultatai!$B$2:$B$500,$K84,Rezultatai!$A$2:$A$500,((Reitingai!$C$2-1)-2),Rezultatai!$D$2:$D$500,"Papildomi (R+)"),0.15*(SUMIFS(Rezultatai!$J$2:$J$500,Rezultatai!$B$2:$B$500,$K84,Rezultatai!$A$2:$A$500,((Reitingai!$C$2-1)-2),Rezultatai!$D$2:$D$500,"&lt;&gt;Papildomi (R+)"))))*MIN(425,375+(1/70)*(SUMIFS(Parametrai!$B$2:$B$40,Parametrai!$A$2:$A$40,((Reitingai!$C$2-1)-2))-2500)),(SUMIFS(Rezultatai!$J$2:$J$500,Rezultatai!$B$2:$B$500,$K84,Rezultatai!$A$2:$A$500,((Reitingai!$C$2-1)-1),Rezultatai!$D$2:$D$500,"&lt;&gt;Papildomi (R+)")+MIN(SUMIFS(Rezultatai!$J$2:$J$500,Rezultatai!$B$2:$B$500,$K84,Rezultatai!$A$2:$A$500,((Reitingai!$C$2-1)-1),Rezultatai!$D$2:$D$500,"Papildomi (R+)"),0.15*(SUMIFS(Rezultatai!$J$2:$J$500,Rezultatai!$B$2:$B$500,$K84,Rezultatai!$A$2:$A$500,((Reitingai!$C$2-1)-1),Rezultatai!$D$2:$D$500,"&lt;&gt;Papildomi (R+)"))))*MIN(450,400+(1/70)*(SUMIFS(Parametrai!$B$2:$B$40,Parametrai!$A$2:$A$40,((Reitingai!$C$2-1)-1))-2500)),(SUMIFS(Rezultatai!$J$2:$J$500,Rezultatai!$B$2:$B$500,$K84,Rezultatai!$A$2:$A$500,(Reitingai!$C$2-1),Rezultatai!$D$2:$D$500,"&lt;&gt;Papildomi (R+)")+MIN(SUMIFS(Rezultatai!$J$2:$J$500,Rezultatai!$B$2:$B$500,$K84,Rezultatai!$A$2:$A$500,(Reitingai!$C$2-1),Rezultatai!$D$2:$D$500,"Papildomi (R+)"),0.15*(SUMIFS(Rezultatai!$J$2:$J$500,Rezultatai!$B$2:$B$500,$K84,Rezultatai!$A$2:$A$500,(Reitingai!$C$2-1),Rezultatai!$D$2:$D$500,"&lt;&gt;Papildomi (R+)"))))*MIN(550,450+(1/35)*(SUMIFS(Parametrai!$B$2:$B$40,Parametrai!$A$2:$A$40,(Reitingai!$C$2-1))-2500)))-MIN((SUMIFS(Rezultatai!$J$2:$J$500,Rezultatai!$B$2:$B$500,$K84,Rezultatai!$A$2:$A$500,((Reitingai!$C$2-1)-2),Rezultatai!$D$2:$D$500,"&lt;&gt;Papildomi (R+)")+MIN(SUMIFS(Rezultatai!$J$2:$J$500,Rezultatai!$B$2:$B$500,$K84,Rezultatai!$A$2:$A$500,((Reitingai!$C$2-1)-2),Rezultatai!$D$2:$D$500,"Papildomi (R+)"),0.15*(SUMIFS(Rezultatai!$J$2:$J$500,Rezultatai!$B$2:$B$500,$K84,Rezultatai!$A$2:$A$500,((Reitingai!$C$2-1)-2),Rezultatai!$D$2:$D$500,"&lt;&gt;Papildomi (R+)"))))*MIN(425,375+(1/70)*(SUMIFS(Parametrai!$B$2:$B$40,Parametrai!$A$2:$A$40,((Reitingai!$C$2-1)-2))-2500)),(SUMIFS(Rezultatai!$J$2:$J$500,Rezultatai!$B$2:$B$500,$K84,Rezultatai!$A$2:$A$500,((Reitingai!$C$2-1)-1),Rezultatai!$D$2:$D$500,"&lt;&gt;Papildomi (R+)")+MIN(SUMIFS(Rezultatai!$J$2:$J$500,Rezultatai!$B$2:$B$500,$K84,Rezultatai!$A$2:$A$500,((Reitingai!$C$2-1)-1),Rezultatai!$D$2:$D$500,"Papildomi (R+)"),0.15*(SUMIFS(Rezultatai!$J$2:$J$500,Rezultatai!$B$2:$B$500,$K84,Rezultatai!$A$2:$A$500,((Reitingai!$C$2-1)-1),Rezultatai!$D$2:$D$500,"&lt;&gt;Papildomi (R+)"))))*MIN(450,400+(1/70)*(SUMIFS(Parametrai!$B$2:$B$40,Parametrai!$A$2:$A$40,((Reitingai!$C$2-1)-1))-2500)),(SUMIFS(Rezultatai!$J$2:$J$500,Rezultatai!$B$2:$B$500,$K84,Rezultatai!$A$2:$A$500,(Reitingai!$C$2-1),Rezultatai!$D$2:$D$500,"&lt;&gt;Papildomi (R+)")+MIN(SUMIFS(Rezultatai!$J$2:$J$500,Rezultatai!$B$2:$B$500,$K84,Rezultatai!$A$2:$A$500,(Reitingai!$C$2-1),Rezultatai!$D$2:$D$500,"Papildomi (R+)"),0.15*(SUMIFS(Rezultatai!$J$2:$J$500,Rezultatai!$B$2:$B$500,$K84,Rezultatai!$A$2:$A$500,(Reitingai!$C$2-1),Rezultatai!$D$2:$D$500,"&lt;&gt;Papildomi (R+)"))))*MIN(550,450+(1/35)*(SUMIFS(Parametrai!$B$2:$B$40,Parametrai!$A$2:$A$40,(Reitingai!$C$2-1))-2500))))</f>
        <v/>
      </c>
      <c r="O84" s="17" t="str">
        <f t="shared" si="28"/>
        <v/>
      </c>
      <c r="P84" s="17" t="str">
        <f t="shared" si="29"/>
        <v/>
      </c>
      <c r="Q84" s="17" t="str">
        <f>IF($K84="","",$O84+COUNTIF($O$6:$O84,$O84)-1)</f>
        <v/>
      </c>
    </row>
    <row r="85" spans="1:17" ht="15" customHeight="1" x14ac:dyDescent="0.3">
      <c r="A85" s="13" t="str">
        <f>IFERROR(MATCH(80,$Q$6:$Q$105,0),"")</f>
        <v/>
      </c>
      <c r="B85" s="13" t="str">
        <f t="shared" si="20"/>
        <v/>
      </c>
      <c r="C85" s="13" t="str">
        <f t="shared" si="21"/>
        <v/>
      </c>
      <c r="D85" s="13" t="str">
        <f t="shared" si="22"/>
        <v/>
      </c>
      <c r="E85" s="16" t="str">
        <f t="shared" si="23"/>
        <v/>
      </c>
      <c r="F85" s="30" t="str">
        <f t="shared" si="24"/>
        <v/>
      </c>
      <c r="G85" s="14" t="str">
        <f t="shared" si="25"/>
        <v/>
      </c>
      <c r="H85" s="14" t="str">
        <f t="shared" si="26"/>
        <v/>
      </c>
      <c r="I85" s="31" t="str">
        <f t="shared" si="27"/>
        <v/>
      </c>
      <c r="K85" s="17" t="str">
        <f>IF(Pilotai!B81="","",Pilotai!B81)</f>
        <v/>
      </c>
      <c r="L85" s="17" t="str">
        <f>IF($K85="","",Pilotai!C81)</f>
        <v/>
      </c>
      <c r="M85" s="18" t="str">
        <f>IF($K85="","",IFERROR(INDEX(Reitingai!$G$6:$G$105,MATCH($K85,Reitingai!$B$6:$B$105,0)),0))</f>
        <v/>
      </c>
      <c r="N85" s="18" t="str">
        <f>IF($K85="","",SUM((SUMIFS(Rezultatai!$J$2:$J$500,Rezultatai!$B$2:$B$500,$K85,Rezultatai!$A$2:$A$500,((Reitingai!$C$2-1)-2),Rezultatai!$D$2:$D$500,"&lt;&gt;Papildomi (R+)")+MIN(SUMIFS(Rezultatai!$J$2:$J$500,Rezultatai!$B$2:$B$500,$K85,Rezultatai!$A$2:$A$500,((Reitingai!$C$2-1)-2),Rezultatai!$D$2:$D$500,"Papildomi (R+)"),0.15*(SUMIFS(Rezultatai!$J$2:$J$500,Rezultatai!$B$2:$B$500,$K85,Rezultatai!$A$2:$A$500,((Reitingai!$C$2-1)-2),Rezultatai!$D$2:$D$500,"&lt;&gt;Papildomi (R+)"))))*MIN(425,375+(1/70)*(SUMIFS(Parametrai!$B$2:$B$40,Parametrai!$A$2:$A$40,((Reitingai!$C$2-1)-2))-2500)),(SUMIFS(Rezultatai!$J$2:$J$500,Rezultatai!$B$2:$B$500,$K85,Rezultatai!$A$2:$A$500,((Reitingai!$C$2-1)-1),Rezultatai!$D$2:$D$500,"&lt;&gt;Papildomi (R+)")+MIN(SUMIFS(Rezultatai!$J$2:$J$500,Rezultatai!$B$2:$B$500,$K85,Rezultatai!$A$2:$A$500,((Reitingai!$C$2-1)-1),Rezultatai!$D$2:$D$500,"Papildomi (R+)"),0.15*(SUMIFS(Rezultatai!$J$2:$J$500,Rezultatai!$B$2:$B$500,$K85,Rezultatai!$A$2:$A$500,((Reitingai!$C$2-1)-1),Rezultatai!$D$2:$D$500,"&lt;&gt;Papildomi (R+)"))))*MIN(450,400+(1/70)*(SUMIFS(Parametrai!$B$2:$B$40,Parametrai!$A$2:$A$40,((Reitingai!$C$2-1)-1))-2500)),(SUMIFS(Rezultatai!$J$2:$J$500,Rezultatai!$B$2:$B$500,$K85,Rezultatai!$A$2:$A$500,(Reitingai!$C$2-1),Rezultatai!$D$2:$D$500,"&lt;&gt;Papildomi (R+)")+MIN(SUMIFS(Rezultatai!$J$2:$J$500,Rezultatai!$B$2:$B$500,$K85,Rezultatai!$A$2:$A$500,(Reitingai!$C$2-1),Rezultatai!$D$2:$D$500,"Papildomi (R+)"),0.15*(SUMIFS(Rezultatai!$J$2:$J$500,Rezultatai!$B$2:$B$500,$K85,Rezultatai!$A$2:$A$500,(Reitingai!$C$2-1),Rezultatai!$D$2:$D$500,"&lt;&gt;Papildomi (R+)"))))*MIN(550,450+(1/35)*(SUMIFS(Parametrai!$B$2:$B$40,Parametrai!$A$2:$A$40,(Reitingai!$C$2-1))-2500)))-MIN((SUMIFS(Rezultatai!$J$2:$J$500,Rezultatai!$B$2:$B$500,$K85,Rezultatai!$A$2:$A$500,((Reitingai!$C$2-1)-2),Rezultatai!$D$2:$D$500,"&lt;&gt;Papildomi (R+)")+MIN(SUMIFS(Rezultatai!$J$2:$J$500,Rezultatai!$B$2:$B$500,$K85,Rezultatai!$A$2:$A$500,((Reitingai!$C$2-1)-2),Rezultatai!$D$2:$D$500,"Papildomi (R+)"),0.15*(SUMIFS(Rezultatai!$J$2:$J$500,Rezultatai!$B$2:$B$500,$K85,Rezultatai!$A$2:$A$500,((Reitingai!$C$2-1)-2),Rezultatai!$D$2:$D$500,"&lt;&gt;Papildomi (R+)"))))*MIN(425,375+(1/70)*(SUMIFS(Parametrai!$B$2:$B$40,Parametrai!$A$2:$A$40,((Reitingai!$C$2-1)-2))-2500)),(SUMIFS(Rezultatai!$J$2:$J$500,Rezultatai!$B$2:$B$500,$K85,Rezultatai!$A$2:$A$500,((Reitingai!$C$2-1)-1),Rezultatai!$D$2:$D$500,"&lt;&gt;Papildomi (R+)")+MIN(SUMIFS(Rezultatai!$J$2:$J$500,Rezultatai!$B$2:$B$500,$K85,Rezultatai!$A$2:$A$500,((Reitingai!$C$2-1)-1),Rezultatai!$D$2:$D$500,"Papildomi (R+)"),0.15*(SUMIFS(Rezultatai!$J$2:$J$500,Rezultatai!$B$2:$B$500,$K85,Rezultatai!$A$2:$A$500,((Reitingai!$C$2-1)-1),Rezultatai!$D$2:$D$500,"&lt;&gt;Papildomi (R+)"))))*MIN(450,400+(1/70)*(SUMIFS(Parametrai!$B$2:$B$40,Parametrai!$A$2:$A$40,((Reitingai!$C$2-1)-1))-2500)),(SUMIFS(Rezultatai!$J$2:$J$500,Rezultatai!$B$2:$B$500,$K85,Rezultatai!$A$2:$A$500,(Reitingai!$C$2-1),Rezultatai!$D$2:$D$500,"&lt;&gt;Papildomi (R+)")+MIN(SUMIFS(Rezultatai!$J$2:$J$500,Rezultatai!$B$2:$B$500,$K85,Rezultatai!$A$2:$A$500,(Reitingai!$C$2-1),Rezultatai!$D$2:$D$500,"Papildomi (R+)"),0.15*(SUMIFS(Rezultatai!$J$2:$J$500,Rezultatai!$B$2:$B$500,$K85,Rezultatai!$A$2:$A$500,(Reitingai!$C$2-1),Rezultatai!$D$2:$D$500,"&lt;&gt;Papildomi (R+)"))))*MIN(550,450+(1/35)*(SUMIFS(Parametrai!$B$2:$B$40,Parametrai!$A$2:$A$40,(Reitingai!$C$2-1))-2500))))</f>
        <v/>
      </c>
      <c r="O85" s="17" t="str">
        <f t="shared" si="28"/>
        <v/>
      </c>
      <c r="P85" s="17" t="str">
        <f t="shared" si="29"/>
        <v/>
      </c>
      <c r="Q85" s="17" t="str">
        <f>IF($K85="","",$O85+COUNTIF($O$6:$O85,$O85)-1)</f>
        <v/>
      </c>
    </row>
    <row r="86" spans="1:17" ht="15" customHeight="1" x14ac:dyDescent="0.3">
      <c r="A86" s="13" t="str">
        <f>IFERROR(MATCH(81,$Q$6:$Q$105,0),"")</f>
        <v/>
      </c>
      <c r="B86" s="13" t="str">
        <f t="shared" si="20"/>
        <v/>
      </c>
      <c r="C86" s="13" t="str">
        <f t="shared" si="21"/>
        <v/>
      </c>
      <c r="D86" s="13" t="str">
        <f t="shared" si="22"/>
        <v/>
      </c>
      <c r="E86" s="16" t="str">
        <f t="shared" si="23"/>
        <v/>
      </c>
      <c r="F86" s="30" t="str">
        <f t="shared" si="24"/>
        <v/>
      </c>
      <c r="G86" s="14" t="str">
        <f t="shared" si="25"/>
        <v/>
      </c>
      <c r="H86" s="14" t="str">
        <f t="shared" si="26"/>
        <v/>
      </c>
      <c r="I86" s="31" t="str">
        <f t="shared" si="27"/>
        <v/>
      </c>
      <c r="K86" s="17" t="str">
        <f>IF(Pilotai!B82="","",Pilotai!B82)</f>
        <v/>
      </c>
      <c r="L86" s="17" t="str">
        <f>IF($K86="","",Pilotai!C82)</f>
        <v/>
      </c>
      <c r="M86" s="18" t="str">
        <f>IF($K86="","",IFERROR(INDEX(Reitingai!$G$6:$G$105,MATCH($K86,Reitingai!$B$6:$B$105,0)),0))</f>
        <v/>
      </c>
      <c r="N86" s="18" t="str">
        <f>IF($K86="","",SUM((SUMIFS(Rezultatai!$J$2:$J$500,Rezultatai!$B$2:$B$500,$K86,Rezultatai!$A$2:$A$500,((Reitingai!$C$2-1)-2),Rezultatai!$D$2:$D$500,"&lt;&gt;Papildomi (R+)")+MIN(SUMIFS(Rezultatai!$J$2:$J$500,Rezultatai!$B$2:$B$500,$K86,Rezultatai!$A$2:$A$500,((Reitingai!$C$2-1)-2),Rezultatai!$D$2:$D$500,"Papildomi (R+)"),0.15*(SUMIFS(Rezultatai!$J$2:$J$500,Rezultatai!$B$2:$B$500,$K86,Rezultatai!$A$2:$A$500,((Reitingai!$C$2-1)-2),Rezultatai!$D$2:$D$500,"&lt;&gt;Papildomi (R+)"))))*MIN(425,375+(1/70)*(SUMIFS(Parametrai!$B$2:$B$40,Parametrai!$A$2:$A$40,((Reitingai!$C$2-1)-2))-2500)),(SUMIFS(Rezultatai!$J$2:$J$500,Rezultatai!$B$2:$B$500,$K86,Rezultatai!$A$2:$A$500,((Reitingai!$C$2-1)-1),Rezultatai!$D$2:$D$500,"&lt;&gt;Papildomi (R+)")+MIN(SUMIFS(Rezultatai!$J$2:$J$500,Rezultatai!$B$2:$B$500,$K86,Rezultatai!$A$2:$A$500,((Reitingai!$C$2-1)-1),Rezultatai!$D$2:$D$500,"Papildomi (R+)"),0.15*(SUMIFS(Rezultatai!$J$2:$J$500,Rezultatai!$B$2:$B$500,$K86,Rezultatai!$A$2:$A$500,((Reitingai!$C$2-1)-1),Rezultatai!$D$2:$D$500,"&lt;&gt;Papildomi (R+)"))))*MIN(450,400+(1/70)*(SUMIFS(Parametrai!$B$2:$B$40,Parametrai!$A$2:$A$40,((Reitingai!$C$2-1)-1))-2500)),(SUMIFS(Rezultatai!$J$2:$J$500,Rezultatai!$B$2:$B$500,$K86,Rezultatai!$A$2:$A$500,(Reitingai!$C$2-1),Rezultatai!$D$2:$D$500,"&lt;&gt;Papildomi (R+)")+MIN(SUMIFS(Rezultatai!$J$2:$J$500,Rezultatai!$B$2:$B$500,$K86,Rezultatai!$A$2:$A$500,(Reitingai!$C$2-1),Rezultatai!$D$2:$D$500,"Papildomi (R+)"),0.15*(SUMIFS(Rezultatai!$J$2:$J$500,Rezultatai!$B$2:$B$500,$K86,Rezultatai!$A$2:$A$500,(Reitingai!$C$2-1),Rezultatai!$D$2:$D$500,"&lt;&gt;Papildomi (R+)"))))*MIN(550,450+(1/35)*(SUMIFS(Parametrai!$B$2:$B$40,Parametrai!$A$2:$A$40,(Reitingai!$C$2-1))-2500)))-MIN((SUMIFS(Rezultatai!$J$2:$J$500,Rezultatai!$B$2:$B$500,$K86,Rezultatai!$A$2:$A$500,((Reitingai!$C$2-1)-2),Rezultatai!$D$2:$D$500,"&lt;&gt;Papildomi (R+)")+MIN(SUMIFS(Rezultatai!$J$2:$J$500,Rezultatai!$B$2:$B$500,$K86,Rezultatai!$A$2:$A$500,((Reitingai!$C$2-1)-2),Rezultatai!$D$2:$D$500,"Papildomi (R+)"),0.15*(SUMIFS(Rezultatai!$J$2:$J$500,Rezultatai!$B$2:$B$500,$K86,Rezultatai!$A$2:$A$500,((Reitingai!$C$2-1)-2),Rezultatai!$D$2:$D$500,"&lt;&gt;Papildomi (R+)"))))*MIN(425,375+(1/70)*(SUMIFS(Parametrai!$B$2:$B$40,Parametrai!$A$2:$A$40,((Reitingai!$C$2-1)-2))-2500)),(SUMIFS(Rezultatai!$J$2:$J$500,Rezultatai!$B$2:$B$500,$K86,Rezultatai!$A$2:$A$500,((Reitingai!$C$2-1)-1),Rezultatai!$D$2:$D$500,"&lt;&gt;Papildomi (R+)")+MIN(SUMIFS(Rezultatai!$J$2:$J$500,Rezultatai!$B$2:$B$500,$K86,Rezultatai!$A$2:$A$500,((Reitingai!$C$2-1)-1),Rezultatai!$D$2:$D$500,"Papildomi (R+)"),0.15*(SUMIFS(Rezultatai!$J$2:$J$500,Rezultatai!$B$2:$B$500,$K86,Rezultatai!$A$2:$A$500,((Reitingai!$C$2-1)-1),Rezultatai!$D$2:$D$500,"&lt;&gt;Papildomi (R+)"))))*MIN(450,400+(1/70)*(SUMIFS(Parametrai!$B$2:$B$40,Parametrai!$A$2:$A$40,((Reitingai!$C$2-1)-1))-2500)),(SUMIFS(Rezultatai!$J$2:$J$500,Rezultatai!$B$2:$B$500,$K86,Rezultatai!$A$2:$A$500,(Reitingai!$C$2-1),Rezultatai!$D$2:$D$500,"&lt;&gt;Papildomi (R+)")+MIN(SUMIFS(Rezultatai!$J$2:$J$500,Rezultatai!$B$2:$B$500,$K86,Rezultatai!$A$2:$A$500,(Reitingai!$C$2-1),Rezultatai!$D$2:$D$500,"Papildomi (R+)"),0.15*(SUMIFS(Rezultatai!$J$2:$J$500,Rezultatai!$B$2:$B$500,$K86,Rezultatai!$A$2:$A$500,(Reitingai!$C$2-1),Rezultatai!$D$2:$D$500,"&lt;&gt;Papildomi (R+)"))))*MIN(550,450+(1/35)*(SUMIFS(Parametrai!$B$2:$B$40,Parametrai!$A$2:$A$40,(Reitingai!$C$2-1))-2500))))</f>
        <v/>
      </c>
      <c r="O86" s="17" t="str">
        <f t="shared" si="28"/>
        <v/>
      </c>
      <c r="P86" s="17" t="str">
        <f t="shared" si="29"/>
        <v/>
      </c>
      <c r="Q86" s="17" t="str">
        <f>IF($K86="","",$O86+COUNTIF($O$6:$O86,$O86)-1)</f>
        <v/>
      </c>
    </row>
    <row r="87" spans="1:17" ht="15" customHeight="1" x14ac:dyDescent="0.3">
      <c r="A87" s="13" t="str">
        <f>IFERROR(MATCH(82,$Q$6:$Q$105,0),"")</f>
        <v/>
      </c>
      <c r="B87" s="13" t="str">
        <f t="shared" si="20"/>
        <v/>
      </c>
      <c r="C87" s="13" t="str">
        <f t="shared" si="21"/>
        <v/>
      </c>
      <c r="D87" s="13" t="str">
        <f t="shared" si="22"/>
        <v/>
      </c>
      <c r="E87" s="16" t="str">
        <f t="shared" si="23"/>
        <v/>
      </c>
      <c r="F87" s="30" t="str">
        <f t="shared" si="24"/>
        <v/>
      </c>
      <c r="G87" s="14" t="str">
        <f t="shared" si="25"/>
        <v/>
      </c>
      <c r="H87" s="14" t="str">
        <f t="shared" si="26"/>
        <v/>
      </c>
      <c r="I87" s="31" t="str">
        <f t="shared" si="27"/>
        <v/>
      </c>
      <c r="K87" s="17" t="str">
        <f>IF(Pilotai!B83="","",Pilotai!B83)</f>
        <v/>
      </c>
      <c r="L87" s="17" t="str">
        <f>IF($K87="","",Pilotai!C83)</f>
        <v/>
      </c>
      <c r="M87" s="18" t="str">
        <f>IF($K87="","",IFERROR(INDEX(Reitingai!$G$6:$G$105,MATCH($K87,Reitingai!$B$6:$B$105,0)),0))</f>
        <v/>
      </c>
      <c r="N87" s="18" t="str">
        <f>IF($K87="","",SUM((SUMIFS(Rezultatai!$J$2:$J$500,Rezultatai!$B$2:$B$500,$K87,Rezultatai!$A$2:$A$500,((Reitingai!$C$2-1)-2),Rezultatai!$D$2:$D$500,"&lt;&gt;Papildomi (R+)")+MIN(SUMIFS(Rezultatai!$J$2:$J$500,Rezultatai!$B$2:$B$500,$K87,Rezultatai!$A$2:$A$500,((Reitingai!$C$2-1)-2),Rezultatai!$D$2:$D$500,"Papildomi (R+)"),0.15*(SUMIFS(Rezultatai!$J$2:$J$500,Rezultatai!$B$2:$B$500,$K87,Rezultatai!$A$2:$A$500,((Reitingai!$C$2-1)-2),Rezultatai!$D$2:$D$500,"&lt;&gt;Papildomi (R+)"))))*MIN(425,375+(1/70)*(SUMIFS(Parametrai!$B$2:$B$40,Parametrai!$A$2:$A$40,((Reitingai!$C$2-1)-2))-2500)),(SUMIFS(Rezultatai!$J$2:$J$500,Rezultatai!$B$2:$B$500,$K87,Rezultatai!$A$2:$A$500,((Reitingai!$C$2-1)-1),Rezultatai!$D$2:$D$500,"&lt;&gt;Papildomi (R+)")+MIN(SUMIFS(Rezultatai!$J$2:$J$500,Rezultatai!$B$2:$B$500,$K87,Rezultatai!$A$2:$A$500,((Reitingai!$C$2-1)-1),Rezultatai!$D$2:$D$500,"Papildomi (R+)"),0.15*(SUMIFS(Rezultatai!$J$2:$J$500,Rezultatai!$B$2:$B$500,$K87,Rezultatai!$A$2:$A$500,((Reitingai!$C$2-1)-1),Rezultatai!$D$2:$D$500,"&lt;&gt;Papildomi (R+)"))))*MIN(450,400+(1/70)*(SUMIFS(Parametrai!$B$2:$B$40,Parametrai!$A$2:$A$40,((Reitingai!$C$2-1)-1))-2500)),(SUMIFS(Rezultatai!$J$2:$J$500,Rezultatai!$B$2:$B$500,$K87,Rezultatai!$A$2:$A$500,(Reitingai!$C$2-1),Rezultatai!$D$2:$D$500,"&lt;&gt;Papildomi (R+)")+MIN(SUMIFS(Rezultatai!$J$2:$J$500,Rezultatai!$B$2:$B$500,$K87,Rezultatai!$A$2:$A$500,(Reitingai!$C$2-1),Rezultatai!$D$2:$D$500,"Papildomi (R+)"),0.15*(SUMIFS(Rezultatai!$J$2:$J$500,Rezultatai!$B$2:$B$500,$K87,Rezultatai!$A$2:$A$500,(Reitingai!$C$2-1),Rezultatai!$D$2:$D$500,"&lt;&gt;Papildomi (R+)"))))*MIN(550,450+(1/35)*(SUMIFS(Parametrai!$B$2:$B$40,Parametrai!$A$2:$A$40,(Reitingai!$C$2-1))-2500)))-MIN((SUMIFS(Rezultatai!$J$2:$J$500,Rezultatai!$B$2:$B$500,$K87,Rezultatai!$A$2:$A$500,((Reitingai!$C$2-1)-2),Rezultatai!$D$2:$D$500,"&lt;&gt;Papildomi (R+)")+MIN(SUMIFS(Rezultatai!$J$2:$J$500,Rezultatai!$B$2:$B$500,$K87,Rezultatai!$A$2:$A$500,((Reitingai!$C$2-1)-2),Rezultatai!$D$2:$D$500,"Papildomi (R+)"),0.15*(SUMIFS(Rezultatai!$J$2:$J$500,Rezultatai!$B$2:$B$500,$K87,Rezultatai!$A$2:$A$500,((Reitingai!$C$2-1)-2),Rezultatai!$D$2:$D$500,"&lt;&gt;Papildomi (R+)"))))*MIN(425,375+(1/70)*(SUMIFS(Parametrai!$B$2:$B$40,Parametrai!$A$2:$A$40,((Reitingai!$C$2-1)-2))-2500)),(SUMIFS(Rezultatai!$J$2:$J$500,Rezultatai!$B$2:$B$500,$K87,Rezultatai!$A$2:$A$500,((Reitingai!$C$2-1)-1),Rezultatai!$D$2:$D$500,"&lt;&gt;Papildomi (R+)")+MIN(SUMIFS(Rezultatai!$J$2:$J$500,Rezultatai!$B$2:$B$500,$K87,Rezultatai!$A$2:$A$500,((Reitingai!$C$2-1)-1),Rezultatai!$D$2:$D$500,"Papildomi (R+)"),0.15*(SUMIFS(Rezultatai!$J$2:$J$500,Rezultatai!$B$2:$B$500,$K87,Rezultatai!$A$2:$A$500,((Reitingai!$C$2-1)-1),Rezultatai!$D$2:$D$500,"&lt;&gt;Papildomi (R+)"))))*MIN(450,400+(1/70)*(SUMIFS(Parametrai!$B$2:$B$40,Parametrai!$A$2:$A$40,((Reitingai!$C$2-1)-1))-2500)),(SUMIFS(Rezultatai!$J$2:$J$500,Rezultatai!$B$2:$B$500,$K87,Rezultatai!$A$2:$A$500,(Reitingai!$C$2-1),Rezultatai!$D$2:$D$500,"&lt;&gt;Papildomi (R+)")+MIN(SUMIFS(Rezultatai!$J$2:$J$500,Rezultatai!$B$2:$B$500,$K87,Rezultatai!$A$2:$A$500,(Reitingai!$C$2-1),Rezultatai!$D$2:$D$500,"Papildomi (R+)"),0.15*(SUMIFS(Rezultatai!$J$2:$J$500,Rezultatai!$B$2:$B$500,$K87,Rezultatai!$A$2:$A$500,(Reitingai!$C$2-1),Rezultatai!$D$2:$D$500,"&lt;&gt;Papildomi (R+)"))))*MIN(550,450+(1/35)*(SUMIFS(Parametrai!$B$2:$B$40,Parametrai!$A$2:$A$40,(Reitingai!$C$2-1))-2500))))</f>
        <v/>
      </c>
      <c r="O87" s="17" t="str">
        <f t="shared" si="28"/>
        <v/>
      </c>
      <c r="P87" s="17" t="str">
        <f t="shared" si="29"/>
        <v/>
      </c>
      <c r="Q87" s="17" t="str">
        <f>IF($K87="","",$O87+COUNTIF($O$6:$O87,$O87)-1)</f>
        <v/>
      </c>
    </row>
    <row r="88" spans="1:17" ht="15" customHeight="1" x14ac:dyDescent="0.3">
      <c r="A88" s="13" t="str">
        <f>IFERROR(MATCH(83,$Q$6:$Q$105,0),"")</f>
        <v/>
      </c>
      <c r="B88" s="13" t="str">
        <f t="shared" si="20"/>
        <v/>
      </c>
      <c r="C88" s="13" t="str">
        <f t="shared" si="21"/>
        <v/>
      </c>
      <c r="D88" s="13" t="str">
        <f t="shared" si="22"/>
        <v/>
      </c>
      <c r="E88" s="16" t="str">
        <f t="shared" si="23"/>
        <v/>
      </c>
      <c r="F88" s="30" t="str">
        <f t="shared" si="24"/>
        <v/>
      </c>
      <c r="G88" s="14" t="str">
        <f t="shared" si="25"/>
        <v/>
      </c>
      <c r="H88" s="14" t="str">
        <f t="shared" si="26"/>
        <v/>
      </c>
      <c r="I88" s="31" t="str">
        <f t="shared" si="27"/>
        <v/>
      </c>
      <c r="K88" s="17" t="str">
        <f>IF(Pilotai!B84="","",Pilotai!B84)</f>
        <v/>
      </c>
      <c r="L88" s="17" t="str">
        <f>IF($K88="","",Pilotai!C84)</f>
        <v/>
      </c>
      <c r="M88" s="18" t="str">
        <f>IF($K88="","",IFERROR(INDEX(Reitingai!$G$6:$G$105,MATCH($K88,Reitingai!$B$6:$B$105,0)),0))</f>
        <v/>
      </c>
      <c r="N88" s="18" t="str">
        <f>IF($K88="","",SUM((SUMIFS(Rezultatai!$J$2:$J$500,Rezultatai!$B$2:$B$500,$K88,Rezultatai!$A$2:$A$500,((Reitingai!$C$2-1)-2),Rezultatai!$D$2:$D$500,"&lt;&gt;Papildomi (R+)")+MIN(SUMIFS(Rezultatai!$J$2:$J$500,Rezultatai!$B$2:$B$500,$K88,Rezultatai!$A$2:$A$500,((Reitingai!$C$2-1)-2),Rezultatai!$D$2:$D$500,"Papildomi (R+)"),0.15*(SUMIFS(Rezultatai!$J$2:$J$500,Rezultatai!$B$2:$B$500,$K88,Rezultatai!$A$2:$A$500,((Reitingai!$C$2-1)-2),Rezultatai!$D$2:$D$500,"&lt;&gt;Papildomi (R+)"))))*MIN(425,375+(1/70)*(SUMIFS(Parametrai!$B$2:$B$40,Parametrai!$A$2:$A$40,((Reitingai!$C$2-1)-2))-2500)),(SUMIFS(Rezultatai!$J$2:$J$500,Rezultatai!$B$2:$B$500,$K88,Rezultatai!$A$2:$A$500,((Reitingai!$C$2-1)-1),Rezultatai!$D$2:$D$500,"&lt;&gt;Papildomi (R+)")+MIN(SUMIFS(Rezultatai!$J$2:$J$500,Rezultatai!$B$2:$B$500,$K88,Rezultatai!$A$2:$A$500,((Reitingai!$C$2-1)-1),Rezultatai!$D$2:$D$500,"Papildomi (R+)"),0.15*(SUMIFS(Rezultatai!$J$2:$J$500,Rezultatai!$B$2:$B$500,$K88,Rezultatai!$A$2:$A$500,((Reitingai!$C$2-1)-1),Rezultatai!$D$2:$D$500,"&lt;&gt;Papildomi (R+)"))))*MIN(450,400+(1/70)*(SUMIFS(Parametrai!$B$2:$B$40,Parametrai!$A$2:$A$40,((Reitingai!$C$2-1)-1))-2500)),(SUMIFS(Rezultatai!$J$2:$J$500,Rezultatai!$B$2:$B$500,$K88,Rezultatai!$A$2:$A$500,(Reitingai!$C$2-1),Rezultatai!$D$2:$D$500,"&lt;&gt;Papildomi (R+)")+MIN(SUMIFS(Rezultatai!$J$2:$J$500,Rezultatai!$B$2:$B$500,$K88,Rezultatai!$A$2:$A$500,(Reitingai!$C$2-1),Rezultatai!$D$2:$D$500,"Papildomi (R+)"),0.15*(SUMIFS(Rezultatai!$J$2:$J$500,Rezultatai!$B$2:$B$500,$K88,Rezultatai!$A$2:$A$500,(Reitingai!$C$2-1),Rezultatai!$D$2:$D$500,"&lt;&gt;Papildomi (R+)"))))*MIN(550,450+(1/35)*(SUMIFS(Parametrai!$B$2:$B$40,Parametrai!$A$2:$A$40,(Reitingai!$C$2-1))-2500)))-MIN((SUMIFS(Rezultatai!$J$2:$J$500,Rezultatai!$B$2:$B$500,$K88,Rezultatai!$A$2:$A$500,((Reitingai!$C$2-1)-2),Rezultatai!$D$2:$D$500,"&lt;&gt;Papildomi (R+)")+MIN(SUMIFS(Rezultatai!$J$2:$J$500,Rezultatai!$B$2:$B$500,$K88,Rezultatai!$A$2:$A$500,((Reitingai!$C$2-1)-2),Rezultatai!$D$2:$D$500,"Papildomi (R+)"),0.15*(SUMIFS(Rezultatai!$J$2:$J$500,Rezultatai!$B$2:$B$500,$K88,Rezultatai!$A$2:$A$500,((Reitingai!$C$2-1)-2),Rezultatai!$D$2:$D$500,"&lt;&gt;Papildomi (R+)"))))*MIN(425,375+(1/70)*(SUMIFS(Parametrai!$B$2:$B$40,Parametrai!$A$2:$A$40,((Reitingai!$C$2-1)-2))-2500)),(SUMIFS(Rezultatai!$J$2:$J$500,Rezultatai!$B$2:$B$500,$K88,Rezultatai!$A$2:$A$500,((Reitingai!$C$2-1)-1),Rezultatai!$D$2:$D$500,"&lt;&gt;Papildomi (R+)")+MIN(SUMIFS(Rezultatai!$J$2:$J$500,Rezultatai!$B$2:$B$500,$K88,Rezultatai!$A$2:$A$500,((Reitingai!$C$2-1)-1),Rezultatai!$D$2:$D$500,"Papildomi (R+)"),0.15*(SUMIFS(Rezultatai!$J$2:$J$500,Rezultatai!$B$2:$B$500,$K88,Rezultatai!$A$2:$A$500,((Reitingai!$C$2-1)-1),Rezultatai!$D$2:$D$500,"&lt;&gt;Papildomi (R+)"))))*MIN(450,400+(1/70)*(SUMIFS(Parametrai!$B$2:$B$40,Parametrai!$A$2:$A$40,((Reitingai!$C$2-1)-1))-2500)),(SUMIFS(Rezultatai!$J$2:$J$500,Rezultatai!$B$2:$B$500,$K88,Rezultatai!$A$2:$A$500,(Reitingai!$C$2-1),Rezultatai!$D$2:$D$500,"&lt;&gt;Papildomi (R+)")+MIN(SUMIFS(Rezultatai!$J$2:$J$500,Rezultatai!$B$2:$B$500,$K88,Rezultatai!$A$2:$A$500,(Reitingai!$C$2-1),Rezultatai!$D$2:$D$500,"Papildomi (R+)"),0.15*(SUMIFS(Rezultatai!$J$2:$J$500,Rezultatai!$B$2:$B$500,$K88,Rezultatai!$A$2:$A$500,(Reitingai!$C$2-1),Rezultatai!$D$2:$D$500,"&lt;&gt;Papildomi (R+)"))))*MIN(550,450+(1/35)*(SUMIFS(Parametrai!$B$2:$B$40,Parametrai!$A$2:$A$40,(Reitingai!$C$2-1))-2500))))</f>
        <v/>
      </c>
      <c r="O88" s="17" t="str">
        <f t="shared" si="28"/>
        <v/>
      </c>
      <c r="P88" s="17" t="str">
        <f t="shared" si="29"/>
        <v/>
      </c>
      <c r="Q88" s="17" t="str">
        <f>IF($K88="","",$O88+COUNTIF($O$6:$O88,$O88)-1)</f>
        <v/>
      </c>
    </row>
    <row r="89" spans="1:17" ht="15" customHeight="1" x14ac:dyDescent="0.3">
      <c r="A89" s="13" t="str">
        <f>IFERROR(MATCH(84,$Q$6:$Q$105,0),"")</f>
        <v/>
      </c>
      <c r="B89" s="13" t="str">
        <f t="shared" si="20"/>
        <v/>
      </c>
      <c r="C89" s="13" t="str">
        <f t="shared" si="21"/>
        <v/>
      </c>
      <c r="D89" s="13" t="str">
        <f t="shared" si="22"/>
        <v/>
      </c>
      <c r="E89" s="16" t="str">
        <f t="shared" si="23"/>
        <v/>
      </c>
      <c r="F89" s="30" t="str">
        <f t="shared" si="24"/>
        <v/>
      </c>
      <c r="G89" s="14" t="str">
        <f t="shared" si="25"/>
        <v/>
      </c>
      <c r="H89" s="14" t="str">
        <f t="shared" si="26"/>
        <v/>
      </c>
      <c r="I89" s="31" t="str">
        <f t="shared" si="27"/>
        <v/>
      </c>
      <c r="K89" s="17" t="str">
        <f>IF(Pilotai!B85="","",Pilotai!B85)</f>
        <v/>
      </c>
      <c r="L89" s="17" t="str">
        <f>IF($K89="","",Pilotai!C85)</f>
        <v/>
      </c>
      <c r="M89" s="18" t="str">
        <f>IF($K89="","",IFERROR(INDEX(Reitingai!$G$6:$G$105,MATCH($K89,Reitingai!$B$6:$B$105,0)),0))</f>
        <v/>
      </c>
      <c r="N89" s="18" t="str">
        <f>IF($K89="","",SUM((SUMIFS(Rezultatai!$J$2:$J$500,Rezultatai!$B$2:$B$500,$K89,Rezultatai!$A$2:$A$500,((Reitingai!$C$2-1)-2),Rezultatai!$D$2:$D$500,"&lt;&gt;Papildomi (R+)")+MIN(SUMIFS(Rezultatai!$J$2:$J$500,Rezultatai!$B$2:$B$500,$K89,Rezultatai!$A$2:$A$500,((Reitingai!$C$2-1)-2),Rezultatai!$D$2:$D$500,"Papildomi (R+)"),0.15*(SUMIFS(Rezultatai!$J$2:$J$500,Rezultatai!$B$2:$B$500,$K89,Rezultatai!$A$2:$A$500,((Reitingai!$C$2-1)-2),Rezultatai!$D$2:$D$500,"&lt;&gt;Papildomi (R+)"))))*MIN(425,375+(1/70)*(SUMIFS(Parametrai!$B$2:$B$40,Parametrai!$A$2:$A$40,((Reitingai!$C$2-1)-2))-2500)),(SUMIFS(Rezultatai!$J$2:$J$500,Rezultatai!$B$2:$B$500,$K89,Rezultatai!$A$2:$A$500,((Reitingai!$C$2-1)-1),Rezultatai!$D$2:$D$500,"&lt;&gt;Papildomi (R+)")+MIN(SUMIFS(Rezultatai!$J$2:$J$500,Rezultatai!$B$2:$B$500,$K89,Rezultatai!$A$2:$A$500,((Reitingai!$C$2-1)-1),Rezultatai!$D$2:$D$500,"Papildomi (R+)"),0.15*(SUMIFS(Rezultatai!$J$2:$J$500,Rezultatai!$B$2:$B$500,$K89,Rezultatai!$A$2:$A$500,((Reitingai!$C$2-1)-1),Rezultatai!$D$2:$D$500,"&lt;&gt;Papildomi (R+)"))))*MIN(450,400+(1/70)*(SUMIFS(Parametrai!$B$2:$B$40,Parametrai!$A$2:$A$40,((Reitingai!$C$2-1)-1))-2500)),(SUMIFS(Rezultatai!$J$2:$J$500,Rezultatai!$B$2:$B$500,$K89,Rezultatai!$A$2:$A$500,(Reitingai!$C$2-1),Rezultatai!$D$2:$D$500,"&lt;&gt;Papildomi (R+)")+MIN(SUMIFS(Rezultatai!$J$2:$J$500,Rezultatai!$B$2:$B$500,$K89,Rezultatai!$A$2:$A$500,(Reitingai!$C$2-1),Rezultatai!$D$2:$D$500,"Papildomi (R+)"),0.15*(SUMIFS(Rezultatai!$J$2:$J$500,Rezultatai!$B$2:$B$500,$K89,Rezultatai!$A$2:$A$500,(Reitingai!$C$2-1),Rezultatai!$D$2:$D$500,"&lt;&gt;Papildomi (R+)"))))*MIN(550,450+(1/35)*(SUMIFS(Parametrai!$B$2:$B$40,Parametrai!$A$2:$A$40,(Reitingai!$C$2-1))-2500)))-MIN((SUMIFS(Rezultatai!$J$2:$J$500,Rezultatai!$B$2:$B$500,$K89,Rezultatai!$A$2:$A$500,((Reitingai!$C$2-1)-2),Rezultatai!$D$2:$D$500,"&lt;&gt;Papildomi (R+)")+MIN(SUMIFS(Rezultatai!$J$2:$J$500,Rezultatai!$B$2:$B$500,$K89,Rezultatai!$A$2:$A$500,((Reitingai!$C$2-1)-2),Rezultatai!$D$2:$D$500,"Papildomi (R+)"),0.15*(SUMIFS(Rezultatai!$J$2:$J$500,Rezultatai!$B$2:$B$500,$K89,Rezultatai!$A$2:$A$500,((Reitingai!$C$2-1)-2),Rezultatai!$D$2:$D$500,"&lt;&gt;Papildomi (R+)"))))*MIN(425,375+(1/70)*(SUMIFS(Parametrai!$B$2:$B$40,Parametrai!$A$2:$A$40,((Reitingai!$C$2-1)-2))-2500)),(SUMIFS(Rezultatai!$J$2:$J$500,Rezultatai!$B$2:$B$500,$K89,Rezultatai!$A$2:$A$500,((Reitingai!$C$2-1)-1),Rezultatai!$D$2:$D$500,"&lt;&gt;Papildomi (R+)")+MIN(SUMIFS(Rezultatai!$J$2:$J$500,Rezultatai!$B$2:$B$500,$K89,Rezultatai!$A$2:$A$500,((Reitingai!$C$2-1)-1),Rezultatai!$D$2:$D$500,"Papildomi (R+)"),0.15*(SUMIFS(Rezultatai!$J$2:$J$500,Rezultatai!$B$2:$B$500,$K89,Rezultatai!$A$2:$A$500,((Reitingai!$C$2-1)-1),Rezultatai!$D$2:$D$500,"&lt;&gt;Papildomi (R+)"))))*MIN(450,400+(1/70)*(SUMIFS(Parametrai!$B$2:$B$40,Parametrai!$A$2:$A$40,((Reitingai!$C$2-1)-1))-2500)),(SUMIFS(Rezultatai!$J$2:$J$500,Rezultatai!$B$2:$B$500,$K89,Rezultatai!$A$2:$A$500,(Reitingai!$C$2-1),Rezultatai!$D$2:$D$500,"&lt;&gt;Papildomi (R+)")+MIN(SUMIFS(Rezultatai!$J$2:$J$500,Rezultatai!$B$2:$B$500,$K89,Rezultatai!$A$2:$A$500,(Reitingai!$C$2-1),Rezultatai!$D$2:$D$500,"Papildomi (R+)"),0.15*(SUMIFS(Rezultatai!$J$2:$J$500,Rezultatai!$B$2:$B$500,$K89,Rezultatai!$A$2:$A$500,(Reitingai!$C$2-1),Rezultatai!$D$2:$D$500,"&lt;&gt;Papildomi (R+)"))))*MIN(550,450+(1/35)*(SUMIFS(Parametrai!$B$2:$B$40,Parametrai!$A$2:$A$40,(Reitingai!$C$2-1))-2500))))</f>
        <v/>
      </c>
      <c r="O89" s="17" t="str">
        <f t="shared" si="28"/>
        <v/>
      </c>
      <c r="P89" s="17" t="str">
        <f t="shared" si="29"/>
        <v/>
      </c>
      <c r="Q89" s="17" t="str">
        <f>IF($K89="","",$O89+COUNTIF($O$6:$O89,$O89)-1)</f>
        <v/>
      </c>
    </row>
    <row r="90" spans="1:17" ht="15" customHeight="1" x14ac:dyDescent="0.3">
      <c r="A90" s="13" t="str">
        <f>IFERROR(MATCH(85,$Q$6:$Q$105,0),"")</f>
        <v/>
      </c>
      <c r="B90" s="13" t="str">
        <f t="shared" si="20"/>
        <v/>
      </c>
      <c r="C90" s="13" t="str">
        <f t="shared" si="21"/>
        <v/>
      </c>
      <c r="D90" s="13" t="str">
        <f t="shared" si="22"/>
        <v/>
      </c>
      <c r="E90" s="16" t="str">
        <f t="shared" si="23"/>
        <v/>
      </c>
      <c r="F90" s="30" t="str">
        <f t="shared" si="24"/>
        <v/>
      </c>
      <c r="G90" s="14" t="str">
        <f t="shared" si="25"/>
        <v/>
      </c>
      <c r="H90" s="14" t="str">
        <f t="shared" si="26"/>
        <v/>
      </c>
      <c r="I90" s="31" t="str">
        <f t="shared" si="27"/>
        <v/>
      </c>
      <c r="K90" s="17" t="str">
        <f>IF(Pilotai!B86="","",Pilotai!B86)</f>
        <v/>
      </c>
      <c r="L90" s="17" t="str">
        <f>IF($K90="","",Pilotai!C86)</f>
        <v/>
      </c>
      <c r="M90" s="18" t="str">
        <f>IF($K90="","",IFERROR(INDEX(Reitingai!$G$6:$G$105,MATCH($K90,Reitingai!$B$6:$B$105,0)),0))</f>
        <v/>
      </c>
      <c r="N90" s="18" t="str">
        <f>IF($K90="","",SUM((SUMIFS(Rezultatai!$J$2:$J$500,Rezultatai!$B$2:$B$500,$K90,Rezultatai!$A$2:$A$500,((Reitingai!$C$2-1)-2),Rezultatai!$D$2:$D$500,"&lt;&gt;Papildomi (R+)")+MIN(SUMIFS(Rezultatai!$J$2:$J$500,Rezultatai!$B$2:$B$500,$K90,Rezultatai!$A$2:$A$500,((Reitingai!$C$2-1)-2),Rezultatai!$D$2:$D$500,"Papildomi (R+)"),0.15*(SUMIFS(Rezultatai!$J$2:$J$500,Rezultatai!$B$2:$B$500,$K90,Rezultatai!$A$2:$A$500,((Reitingai!$C$2-1)-2),Rezultatai!$D$2:$D$500,"&lt;&gt;Papildomi (R+)"))))*MIN(425,375+(1/70)*(SUMIFS(Parametrai!$B$2:$B$40,Parametrai!$A$2:$A$40,((Reitingai!$C$2-1)-2))-2500)),(SUMIFS(Rezultatai!$J$2:$J$500,Rezultatai!$B$2:$B$500,$K90,Rezultatai!$A$2:$A$500,((Reitingai!$C$2-1)-1),Rezultatai!$D$2:$D$500,"&lt;&gt;Papildomi (R+)")+MIN(SUMIFS(Rezultatai!$J$2:$J$500,Rezultatai!$B$2:$B$500,$K90,Rezultatai!$A$2:$A$500,((Reitingai!$C$2-1)-1),Rezultatai!$D$2:$D$500,"Papildomi (R+)"),0.15*(SUMIFS(Rezultatai!$J$2:$J$500,Rezultatai!$B$2:$B$500,$K90,Rezultatai!$A$2:$A$500,((Reitingai!$C$2-1)-1),Rezultatai!$D$2:$D$500,"&lt;&gt;Papildomi (R+)"))))*MIN(450,400+(1/70)*(SUMIFS(Parametrai!$B$2:$B$40,Parametrai!$A$2:$A$40,((Reitingai!$C$2-1)-1))-2500)),(SUMIFS(Rezultatai!$J$2:$J$500,Rezultatai!$B$2:$B$500,$K90,Rezultatai!$A$2:$A$500,(Reitingai!$C$2-1),Rezultatai!$D$2:$D$500,"&lt;&gt;Papildomi (R+)")+MIN(SUMIFS(Rezultatai!$J$2:$J$500,Rezultatai!$B$2:$B$500,$K90,Rezultatai!$A$2:$A$500,(Reitingai!$C$2-1),Rezultatai!$D$2:$D$500,"Papildomi (R+)"),0.15*(SUMIFS(Rezultatai!$J$2:$J$500,Rezultatai!$B$2:$B$500,$K90,Rezultatai!$A$2:$A$500,(Reitingai!$C$2-1),Rezultatai!$D$2:$D$500,"&lt;&gt;Papildomi (R+)"))))*MIN(550,450+(1/35)*(SUMIFS(Parametrai!$B$2:$B$40,Parametrai!$A$2:$A$40,(Reitingai!$C$2-1))-2500)))-MIN((SUMIFS(Rezultatai!$J$2:$J$500,Rezultatai!$B$2:$B$500,$K90,Rezultatai!$A$2:$A$500,((Reitingai!$C$2-1)-2),Rezultatai!$D$2:$D$500,"&lt;&gt;Papildomi (R+)")+MIN(SUMIFS(Rezultatai!$J$2:$J$500,Rezultatai!$B$2:$B$500,$K90,Rezultatai!$A$2:$A$500,((Reitingai!$C$2-1)-2),Rezultatai!$D$2:$D$500,"Papildomi (R+)"),0.15*(SUMIFS(Rezultatai!$J$2:$J$500,Rezultatai!$B$2:$B$500,$K90,Rezultatai!$A$2:$A$500,((Reitingai!$C$2-1)-2),Rezultatai!$D$2:$D$500,"&lt;&gt;Papildomi (R+)"))))*MIN(425,375+(1/70)*(SUMIFS(Parametrai!$B$2:$B$40,Parametrai!$A$2:$A$40,((Reitingai!$C$2-1)-2))-2500)),(SUMIFS(Rezultatai!$J$2:$J$500,Rezultatai!$B$2:$B$500,$K90,Rezultatai!$A$2:$A$500,((Reitingai!$C$2-1)-1),Rezultatai!$D$2:$D$500,"&lt;&gt;Papildomi (R+)")+MIN(SUMIFS(Rezultatai!$J$2:$J$500,Rezultatai!$B$2:$B$500,$K90,Rezultatai!$A$2:$A$500,((Reitingai!$C$2-1)-1),Rezultatai!$D$2:$D$500,"Papildomi (R+)"),0.15*(SUMIFS(Rezultatai!$J$2:$J$500,Rezultatai!$B$2:$B$500,$K90,Rezultatai!$A$2:$A$500,((Reitingai!$C$2-1)-1),Rezultatai!$D$2:$D$500,"&lt;&gt;Papildomi (R+)"))))*MIN(450,400+(1/70)*(SUMIFS(Parametrai!$B$2:$B$40,Parametrai!$A$2:$A$40,((Reitingai!$C$2-1)-1))-2500)),(SUMIFS(Rezultatai!$J$2:$J$500,Rezultatai!$B$2:$B$500,$K90,Rezultatai!$A$2:$A$500,(Reitingai!$C$2-1),Rezultatai!$D$2:$D$500,"&lt;&gt;Papildomi (R+)")+MIN(SUMIFS(Rezultatai!$J$2:$J$500,Rezultatai!$B$2:$B$500,$K90,Rezultatai!$A$2:$A$500,(Reitingai!$C$2-1),Rezultatai!$D$2:$D$500,"Papildomi (R+)"),0.15*(SUMIFS(Rezultatai!$J$2:$J$500,Rezultatai!$B$2:$B$500,$K90,Rezultatai!$A$2:$A$500,(Reitingai!$C$2-1),Rezultatai!$D$2:$D$500,"&lt;&gt;Papildomi (R+)"))))*MIN(550,450+(1/35)*(SUMIFS(Parametrai!$B$2:$B$40,Parametrai!$A$2:$A$40,(Reitingai!$C$2-1))-2500))))</f>
        <v/>
      </c>
      <c r="O90" s="17" t="str">
        <f t="shared" si="28"/>
        <v/>
      </c>
      <c r="P90" s="17" t="str">
        <f t="shared" si="29"/>
        <v/>
      </c>
      <c r="Q90" s="17" t="str">
        <f>IF($K90="","",$O90+COUNTIF($O$6:$O90,$O90)-1)</f>
        <v/>
      </c>
    </row>
    <row r="91" spans="1:17" ht="15" customHeight="1" x14ac:dyDescent="0.3">
      <c r="A91" s="13" t="str">
        <f>IFERROR(MATCH(86,$Q$6:$Q$105,0),"")</f>
        <v/>
      </c>
      <c r="B91" s="13" t="str">
        <f t="shared" si="20"/>
        <v/>
      </c>
      <c r="C91" s="13" t="str">
        <f t="shared" si="21"/>
        <v/>
      </c>
      <c r="D91" s="13" t="str">
        <f t="shared" si="22"/>
        <v/>
      </c>
      <c r="E91" s="16" t="str">
        <f t="shared" si="23"/>
        <v/>
      </c>
      <c r="F91" s="30" t="str">
        <f t="shared" si="24"/>
        <v/>
      </c>
      <c r="G91" s="14" t="str">
        <f t="shared" si="25"/>
        <v/>
      </c>
      <c r="H91" s="14" t="str">
        <f t="shared" si="26"/>
        <v/>
      </c>
      <c r="I91" s="31" t="str">
        <f t="shared" si="27"/>
        <v/>
      </c>
      <c r="K91" s="17" t="str">
        <f>IF(Pilotai!B87="","",Pilotai!B87)</f>
        <v/>
      </c>
      <c r="L91" s="17" t="str">
        <f>IF($K91="","",Pilotai!C87)</f>
        <v/>
      </c>
      <c r="M91" s="18" t="str">
        <f>IF($K91="","",IFERROR(INDEX(Reitingai!$G$6:$G$105,MATCH($K91,Reitingai!$B$6:$B$105,0)),0))</f>
        <v/>
      </c>
      <c r="N91" s="18" t="str">
        <f>IF($K91="","",SUM((SUMIFS(Rezultatai!$J$2:$J$500,Rezultatai!$B$2:$B$500,$K91,Rezultatai!$A$2:$A$500,((Reitingai!$C$2-1)-2),Rezultatai!$D$2:$D$500,"&lt;&gt;Papildomi (R+)")+MIN(SUMIFS(Rezultatai!$J$2:$J$500,Rezultatai!$B$2:$B$500,$K91,Rezultatai!$A$2:$A$500,((Reitingai!$C$2-1)-2),Rezultatai!$D$2:$D$500,"Papildomi (R+)"),0.15*(SUMIFS(Rezultatai!$J$2:$J$500,Rezultatai!$B$2:$B$500,$K91,Rezultatai!$A$2:$A$500,((Reitingai!$C$2-1)-2),Rezultatai!$D$2:$D$500,"&lt;&gt;Papildomi (R+)"))))*MIN(425,375+(1/70)*(SUMIFS(Parametrai!$B$2:$B$40,Parametrai!$A$2:$A$40,((Reitingai!$C$2-1)-2))-2500)),(SUMIFS(Rezultatai!$J$2:$J$500,Rezultatai!$B$2:$B$500,$K91,Rezultatai!$A$2:$A$500,((Reitingai!$C$2-1)-1),Rezultatai!$D$2:$D$500,"&lt;&gt;Papildomi (R+)")+MIN(SUMIFS(Rezultatai!$J$2:$J$500,Rezultatai!$B$2:$B$500,$K91,Rezultatai!$A$2:$A$500,((Reitingai!$C$2-1)-1),Rezultatai!$D$2:$D$500,"Papildomi (R+)"),0.15*(SUMIFS(Rezultatai!$J$2:$J$500,Rezultatai!$B$2:$B$500,$K91,Rezultatai!$A$2:$A$500,((Reitingai!$C$2-1)-1),Rezultatai!$D$2:$D$500,"&lt;&gt;Papildomi (R+)"))))*MIN(450,400+(1/70)*(SUMIFS(Parametrai!$B$2:$B$40,Parametrai!$A$2:$A$40,((Reitingai!$C$2-1)-1))-2500)),(SUMIFS(Rezultatai!$J$2:$J$500,Rezultatai!$B$2:$B$500,$K91,Rezultatai!$A$2:$A$500,(Reitingai!$C$2-1),Rezultatai!$D$2:$D$500,"&lt;&gt;Papildomi (R+)")+MIN(SUMIFS(Rezultatai!$J$2:$J$500,Rezultatai!$B$2:$B$500,$K91,Rezultatai!$A$2:$A$500,(Reitingai!$C$2-1),Rezultatai!$D$2:$D$500,"Papildomi (R+)"),0.15*(SUMIFS(Rezultatai!$J$2:$J$500,Rezultatai!$B$2:$B$500,$K91,Rezultatai!$A$2:$A$500,(Reitingai!$C$2-1),Rezultatai!$D$2:$D$500,"&lt;&gt;Papildomi (R+)"))))*MIN(550,450+(1/35)*(SUMIFS(Parametrai!$B$2:$B$40,Parametrai!$A$2:$A$40,(Reitingai!$C$2-1))-2500)))-MIN((SUMIFS(Rezultatai!$J$2:$J$500,Rezultatai!$B$2:$B$500,$K91,Rezultatai!$A$2:$A$500,((Reitingai!$C$2-1)-2),Rezultatai!$D$2:$D$500,"&lt;&gt;Papildomi (R+)")+MIN(SUMIFS(Rezultatai!$J$2:$J$500,Rezultatai!$B$2:$B$500,$K91,Rezultatai!$A$2:$A$500,((Reitingai!$C$2-1)-2),Rezultatai!$D$2:$D$500,"Papildomi (R+)"),0.15*(SUMIFS(Rezultatai!$J$2:$J$500,Rezultatai!$B$2:$B$500,$K91,Rezultatai!$A$2:$A$500,((Reitingai!$C$2-1)-2),Rezultatai!$D$2:$D$500,"&lt;&gt;Papildomi (R+)"))))*MIN(425,375+(1/70)*(SUMIFS(Parametrai!$B$2:$B$40,Parametrai!$A$2:$A$40,((Reitingai!$C$2-1)-2))-2500)),(SUMIFS(Rezultatai!$J$2:$J$500,Rezultatai!$B$2:$B$500,$K91,Rezultatai!$A$2:$A$500,((Reitingai!$C$2-1)-1),Rezultatai!$D$2:$D$500,"&lt;&gt;Papildomi (R+)")+MIN(SUMIFS(Rezultatai!$J$2:$J$500,Rezultatai!$B$2:$B$500,$K91,Rezultatai!$A$2:$A$500,((Reitingai!$C$2-1)-1),Rezultatai!$D$2:$D$500,"Papildomi (R+)"),0.15*(SUMIFS(Rezultatai!$J$2:$J$500,Rezultatai!$B$2:$B$500,$K91,Rezultatai!$A$2:$A$500,((Reitingai!$C$2-1)-1),Rezultatai!$D$2:$D$500,"&lt;&gt;Papildomi (R+)"))))*MIN(450,400+(1/70)*(SUMIFS(Parametrai!$B$2:$B$40,Parametrai!$A$2:$A$40,((Reitingai!$C$2-1)-1))-2500)),(SUMIFS(Rezultatai!$J$2:$J$500,Rezultatai!$B$2:$B$500,$K91,Rezultatai!$A$2:$A$500,(Reitingai!$C$2-1),Rezultatai!$D$2:$D$500,"&lt;&gt;Papildomi (R+)")+MIN(SUMIFS(Rezultatai!$J$2:$J$500,Rezultatai!$B$2:$B$500,$K91,Rezultatai!$A$2:$A$500,(Reitingai!$C$2-1),Rezultatai!$D$2:$D$500,"Papildomi (R+)"),0.15*(SUMIFS(Rezultatai!$J$2:$J$500,Rezultatai!$B$2:$B$500,$K91,Rezultatai!$A$2:$A$500,(Reitingai!$C$2-1),Rezultatai!$D$2:$D$500,"&lt;&gt;Papildomi (R+)"))))*MIN(550,450+(1/35)*(SUMIFS(Parametrai!$B$2:$B$40,Parametrai!$A$2:$A$40,(Reitingai!$C$2-1))-2500))))</f>
        <v/>
      </c>
      <c r="O91" s="17" t="str">
        <f t="shared" si="28"/>
        <v/>
      </c>
      <c r="P91" s="17" t="str">
        <f t="shared" si="29"/>
        <v/>
      </c>
      <c r="Q91" s="17" t="str">
        <f>IF($K91="","",$O91+COUNTIF($O$6:$O91,$O91)-1)</f>
        <v/>
      </c>
    </row>
    <row r="92" spans="1:17" ht="15" customHeight="1" x14ac:dyDescent="0.3">
      <c r="A92" s="13" t="str">
        <f>IFERROR(MATCH(87,$Q$6:$Q$105,0),"")</f>
        <v/>
      </c>
      <c r="B92" s="13" t="str">
        <f t="shared" si="20"/>
        <v/>
      </c>
      <c r="C92" s="13" t="str">
        <f t="shared" si="21"/>
        <v/>
      </c>
      <c r="D92" s="13" t="str">
        <f t="shared" si="22"/>
        <v/>
      </c>
      <c r="E92" s="16" t="str">
        <f t="shared" si="23"/>
        <v/>
      </c>
      <c r="F92" s="30" t="str">
        <f t="shared" si="24"/>
        <v/>
      </c>
      <c r="G92" s="14" t="str">
        <f t="shared" si="25"/>
        <v/>
      </c>
      <c r="H92" s="14" t="str">
        <f t="shared" si="26"/>
        <v/>
      </c>
      <c r="I92" s="31" t="str">
        <f t="shared" si="27"/>
        <v/>
      </c>
      <c r="K92" s="17" t="str">
        <f>IF(Pilotai!B88="","",Pilotai!B88)</f>
        <v/>
      </c>
      <c r="L92" s="17" t="str">
        <f>IF($K92="","",Pilotai!C88)</f>
        <v/>
      </c>
      <c r="M92" s="18" t="str">
        <f>IF($K92="","",IFERROR(INDEX(Reitingai!$G$6:$G$105,MATCH($K92,Reitingai!$B$6:$B$105,0)),0))</f>
        <v/>
      </c>
      <c r="N92" s="18" t="str">
        <f>IF($K92="","",SUM((SUMIFS(Rezultatai!$J$2:$J$500,Rezultatai!$B$2:$B$500,$K92,Rezultatai!$A$2:$A$500,((Reitingai!$C$2-1)-2),Rezultatai!$D$2:$D$500,"&lt;&gt;Papildomi (R+)")+MIN(SUMIFS(Rezultatai!$J$2:$J$500,Rezultatai!$B$2:$B$500,$K92,Rezultatai!$A$2:$A$500,((Reitingai!$C$2-1)-2),Rezultatai!$D$2:$D$500,"Papildomi (R+)"),0.15*(SUMIFS(Rezultatai!$J$2:$J$500,Rezultatai!$B$2:$B$500,$K92,Rezultatai!$A$2:$A$500,((Reitingai!$C$2-1)-2),Rezultatai!$D$2:$D$500,"&lt;&gt;Papildomi (R+)"))))*MIN(425,375+(1/70)*(SUMIFS(Parametrai!$B$2:$B$40,Parametrai!$A$2:$A$40,((Reitingai!$C$2-1)-2))-2500)),(SUMIFS(Rezultatai!$J$2:$J$500,Rezultatai!$B$2:$B$500,$K92,Rezultatai!$A$2:$A$500,((Reitingai!$C$2-1)-1),Rezultatai!$D$2:$D$500,"&lt;&gt;Papildomi (R+)")+MIN(SUMIFS(Rezultatai!$J$2:$J$500,Rezultatai!$B$2:$B$500,$K92,Rezultatai!$A$2:$A$500,((Reitingai!$C$2-1)-1),Rezultatai!$D$2:$D$500,"Papildomi (R+)"),0.15*(SUMIFS(Rezultatai!$J$2:$J$500,Rezultatai!$B$2:$B$500,$K92,Rezultatai!$A$2:$A$500,((Reitingai!$C$2-1)-1),Rezultatai!$D$2:$D$500,"&lt;&gt;Papildomi (R+)"))))*MIN(450,400+(1/70)*(SUMIFS(Parametrai!$B$2:$B$40,Parametrai!$A$2:$A$40,((Reitingai!$C$2-1)-1))-2500)),(SUMIFS(Rezultatai!$J$2:$J$500,Rezultatai!$B$2:$B$500,$K92,Rezultatai!$A$2:$A$500,(Reitingai!$C$2-1),Rezultatai!$D$2:$D$500,"&lt;&gt;Papildomi (R+)")+MIN(SUMIFS(Rezultatai!$J$2:$J$500,Rezultatai!$B$2:$B$500,$K92,Rezultatai!$A$2:$A$500,(Reitingai!$C$2-1),Rezultatai!$D$2:$D$500,"Papildomi (R+)"),0.15*(SUMIFS(Rezultatai!$J$2:$J$500,Rezultatai!$B$2:$B$500,$K92,Rezultatai!$A$2:$A$500,(Reitingai!$C$2-1),Rezultatai!$D$2:$D$500,"&lt;&gt;Papildomi (R+)"))))*MIN(550,450+(1/35)*(SUMIFS(Parametrai!$B$2:$B$40,Parametrai!$A$2:$A$40,(Reitingai!$C$2-1))-2500)))-MIN((SUMIFS(Rezultatai!$J$2:$J$500,Rezultatai!$B$2:$B$500,$K92,Rezultatai!$A$2:$A$500,((Reitingai!$C$2-1)-2),Rezultatai!$D$2:$D$500,"&lt;&gt;Papildomi (R+)")+MIN(SUMIFS(Rezultatai!$J$2:$J$500,Rezultatai!$B$2:$B$500,$K92,Rezultatai!$A$2:$A$500,((Reitingai!$C$2-1)-2),Rezultatai!$D$2:$D$500,"Papildomi (R+)"),0.15*(SUMIFS(Rezultatai!$J$2:$J$500,Rezultatai!$B$2:$B$500,$K92,Rezultatai!$A$2:$A$500,((Reitingai!$C$2-1)-2),Rezultatai!$D$2:$D$500,"&lt;&gt;Papildomi (R+)"))))*MIN(425,375+(1/70)*(SUMIFS(Parametrai!$B$2:$B$40,Parametrai!$A$2:$A$40,((Reitingai!$C$2-1)-2))-2500)),(SUMIFS(Rezultatai!$J$2:$J$500,Rezultatai!$B$2:$B$500,$K92,Rezultatai!$A$2:$A$500,((Reitingai!$C$2-1)-1),Rezultatai!$D$2:$D$500,"&lt;&gt;Papildomi (R+)")+MIN(SUMIFS(Rezultatai!$J$2:$J$500,Rezultatai!$B$2:$B$500,$K92,Rezultatai!$A$2:$A$500,((Reitingai!$C$2-1)-1),Rezultatai!$D$2:$D$500,"Papildomi (R+)"),0.15*(SUMIFS(Rezultatai!$J$2:$J$500,Rezultatai!$B$2:$B$500,$K92,Rezultatai!$A$2:$A$500,((Reitingai!$C$2-1)-1),Rezultatai!$D$2:$D$500,"&lt;&gt;Papildomi (R+)"))))*MIN(450,400+(1/70)*(SUMIFS(Parametrai!$B$2:$B$40,Parametrai!$A$2:$A$40,((Reitingai!$C$2-1)-1))-2500)),(SUMIFS(Rezultatai!$J$2:$J$500,Rezultatai!$B$2:$B$500,$K92,Rezultatai!$A$2:$A$500,(Reitingai!$C$2-1),Rezultatai!$D$2:$D$500,"&lt;&gt;Papildomi (R+)")+MIN(SUMIFS(Rezultatai!$J$2:$J$500,Rezultatai!$B$2:$B$500,$K92,Rezultatai!$A$2:$A$500,(Reitingai!$C$2-1),Rezultatai!$D$2:$D$500,"Papildomi (R+)"),0.15*(SUMIFS(Rezultatai!$J$2:$J$500,Rezultatai!$B$2:$B$500,$K92,Rezultatai!$A$2:$A$500,(Reitingai!$C$2-1),Rezultatai!$D$2:$D$500,"&lt;&gt;Papildomi (R+)"))))*MIN(550,450+(1/35)*(SUMIFS(Parametrai!$B$2:$B$40,Parametrai!$A$2:$A$40,(Reitingai!$C$2-1))-2500))))</f>
        <v/>
      </c>
      <c r="O92" s="17" t="str">
        <f t="shared" si="28"/>
        <v/>
      </c>
      <c r="P92" s="17" t="str">
        <f t="shared" si="29"/>
        <v/>
      </c>
      <c r="Q92" s="17" t="str">
        <f>IF($K92="","",$O92+COUNTIF($O$6:$O92,$O92)-1)</f>
        <v/>
      </c>
    </row>
    <row r="93" spans="1:17" ht="15" customHeight="1" x14ac:dyDescent="0.3">
      <c r="A93" s="13" t="str">
        <f>IFERROR(MATCH(88,$Q$6:$Q$105,0),"")</f>
        <v/>
      </c>
      <c r="B93" s="13" t="str">
        <f t="shared" si="20"/>
        <v/>
      </c>
      <c r="C93" s="13" t="str">
        <f t="shared" si="21"/>
        <v/>
      </c>
      <c r="D93" s="13" t="str">
        <f t="shared" si="22"/>
        <v/>
      </c>
      <c r="E93" s="16" t="str">
        <f t="shared" si="23"/>
        <v/>
      </c>
      <c r="F93" s="30" t="str">
        <f t="shared" si="24"/>
        <v/>
      </c>
      <c r="G93" s="14" t="str">
        <f t="shared" si="25"/>
        <v/>
      </c>
      <c r="H93" s="14" t="str">
        <f t="shared" si="26"/>
        <v/>
      </c>
      <c r="I93" s="31" t="str">
        <f t="shared" si="27"/>
        <v/>
      </c>
      <c r="K93" s="17" t="str">
        <f>IF(Pilotai!B89="","",Pilotai!B89)</f>
        <v/>
      </c>
      <c r="L93" s="17" t="str">
        <f>IF($K93="","",Pilotai!C89)</f>
        <v/>
      </c>
      <c r="M93" s="18" t="str">
        <f>IF($K93="","",IFERROR(INDEX(Reitingai!$G$6:$G$105,MATCH($K93,Reitingai!$B$6:$B$105,0)),0))</f>
        <v/>
      </c>
      <c r="N93" s="18" t="str">
        <f>IF($K93="","",SUM((SUMIFS(Rezultatai!$J$2:$J$500,Rezultatai!$B$2:$B$500,$K93,Rezultatai!$A$2:$A$500,((Reitingai!$C$2-1)-2),Rezultatai!$D$2:$D$500,"&lt;&gt;Papildomi (R+)")+MIN(SUMIFS(Rezultatai!$J$2:$J$500,Rezultatai!$B$2:$B$500,$K93,Rezultatai!$A$2:$A$500,((Reitingai!$C$2-1)-2),Rezultatai!$D$2:$D$500,"Papildomi (R+)"),0.15*(SUMIFS(Rezultatai!$J$2:$J$500,Rezultatai!$B$2:$B$500,$K93,Rezultatai!$A$2:$A$500,((Reitingai!$C$2-1)-2),Rezultatai!$D$2:$D$500,"&lt;&gt;Papildomi (R+)"))))*MIN(425,375+(1/70)*(SUMIFS(Parametrai!$B$2:$B$40,Parametrai!$A$2:$A$40,((Reitingai!$C$2-1)-2))-2500)),(SUMIFS(Rezultatai!$J$2:$J$500,Rezultatai!$B$2:$B$500,$K93,Rezultatai!$A$2:$A$500,((Reitingai!$C$2-1)-1),Rezultatai!$D$2:$D$500,"&lt;&gt;Papildomi (R+)")+MIN(SUMIFS(Rezultatai!$J$2:$J$500,Rezultatai!$B$2:$B$500,$K93,Rezultatai!$A$2:$A$500,((Reitingai!$C$2-1)-1),Rezultatai!$D$2:$D$500,"Papildomi (R+)"),0.15*(SUMIFS(Rezultatai!$J$2:$J$500,Rezultatai!$B$2:$B$500,$K93,Rezultatai!$A$2:$A$500,((Reitingai!$C$2-1)-1),Rezultatai!$D$2:$D$500,"&lt;&gt;Papildomi (R+)"))))*MIN(450,400+(1/70)*(SUMIFS(Parametrai!$B$2:$B$40,Parametrai!$A$2:$A$40,((Reitingai!$C$2-1)-1))-2500)),(SUMIFS(Rezultatai!$J$2:$J$500,Rezultatai!$B$2:$B$500,$K93,Rezultatai!$A$2:$A$500,(Reitingai!$C$2-1),Rezultatai!$D$2:$D$500,"&lt;&gt;Papildomi (R+)")+MIN(SUMIFS(Rezultatai!$J$2:$J$500,Rezultatai!$B$2:$B$500,$K93,Rezultatai!$A$2:$A$500,(Reitingai!$C$2-1),Rezultatai!$D$2:$D$500,"Papildomi (R+)"),0.15*(SUMIFS(Rezultatai!$J$2:$J$500,Rezultatai!$B$2:$B$500,$K93,Rezultatai!$A$2:$A$500,(Reitingai!$C$2-1),Rezultatai!$D$2:$D$500,"&lt;&gt;Papildomi (R+)"))))*MIN(550,450+(1/35)*(SUMIFS(Parametrai!$B$2:$B$40,Parametrai!$A$2:$A$40,(Reitingai!$C$2-1))-2500)))-MIN((SUMIFS(Rezultatai!$J$2:$J$500,Rezultatai!$B$2:$B$500,$K93,Rezultatai!$A$2:$A$500,((Reitingai!$C$2-1)-2),Rezultatai!$D$2:$D$500,"&lt;&gt;Papildomi (R+)")+MIN(SUMIFS(Rezultatai!$J$2:$J$500,Rezultatai!$B$2:$B$500,$K93,Rezultatai!$A$2:$A$500,((Reitingai!$C$2-1)-2),Rezultatai!$D$2:$D$500,"Papildomi (R+)"),0.15*(SUMIFS(Rezultatai!$J$2:$J$500,Rezultatai!$B$2:$B$500,$K93,Rezultatai!$A$2:$A$500,((Reitingai!$C$2-1)-2),Rezultatai!$D$2:$D$500,"&lt;&gt;Papildomi (R+)"))))*MIN(425,375+(1/70)*(SUMIFS(Parametrai!$B$2:$B$40,Parametrai!$A$2:$A$40,((Reitingai!$C$2-1)-2))-2500)),(SUMIFS(Rezultatai!$J$2:$J$500,Rezultatai!$B$2:$B$500,$K93,Rezultatai!$A$2:$A$500,((Reitingai!$C$2-1)-1),Rezultatai!$D$2:$D$500,"&lt;&gt;Papildomi (R+)")+MIN(SUMIFS(Rezultatai!$J$2:$J$500,Rezultatai!$B$2:$B$500,$K93,Rezultatai!$A$2:$A$500,((Reitingai!$C$2-1)-1),Rezultatai!$D$2:$D$500,"Papildomi (R+)"),0.15*(SUMIFS(Rezultatai!$J$2:$J$500,Rezultatai!$B$2:$B$500,$K93,Rezultatai!$A$2:$A$500,((Reitingai!$C$2-1)-1),Rezultatai!$D$2:$D$500,"&lt;&gt;Papildomi (R+)"))))*MIN(450,400+(1/70)*(SUMIFS(Parametrai!$B$2:$B$40,Parametrai!$A$2:$A$40,((Reitingai!$C$2-1)-1))-2500)),(SUMIFS(Rezultatai!$J$2:$J$500,Rezultatai!$B$2:$B$500,$K93,Rezultatai!$A$2:$A$500,(Reitingai!$C$2-1),Rezultatai!$D$2:$D$500,"&lt;&gt;Papildomi (R+)")+MIN(SUMIFS(Rezultatai!$J$2:$J$500,Rezultatai!$B$2:$B$500,$K93,Rezultatai!$A$2:$A$500,(Reitingai!$C$2-1),Rezultatai!$D$2:$D$500,"Papildomi (R+)"),0.15*(SUMIFS(Rezultatai!$J$2:$J$500,Rezultatai!$B$2:$B$500,$K93,Rezultatai!$A$2:$A$500,(Reitingai!$C$2-1),Rezultatai!$D$2:$D$500,"&lt;&gt;Papildomi (R+)"))))*MIN(550,450+(1/35)*(SUMIFS(Parametrai!$B$2:$B$40,Parametrai!$A$2:$A$40,(Reitingai!$C$2-1))-2500))))</f>
        <v/>
      </c>
      <c r="O93" s="17" t="str">
        <f t="shared" si="28"/>
        <v/>
      </c>
      <c r="P93" s="17" t="str">
        <f t="shared" si="29"/>
        <v/>
      </c>
      <c r="Q93" s="17" t="str">
        <f>IF($K93="","",$O93+COUNTIF($O$6:$O93,$O93)-1)</f>
        <v/>
      </c>
    </row>
    <row r="94" spans="1:17" ht="15" customHeight="1" x14ac:dyDescent="0.3">
      <c r="A94" s="13" t="str">
        <f>IFERROR(MATCH(89,$Q$6:$Q$105,0),"")</f>
        <v/>
      </c>
      <c r="B94" s="13" t="str">
        <f t="shared" si="20"/>
        <v/>
      </c>
      <c r="C94" s="13" t="str">
        <f t="shared" si="21"/>
        <v/>
      </c>
      <c r="D94" s="13" t="str">
        <f t="shared" si="22"/>
        <v/>
      </c>
      <c r="E94" s="16" t="str">
        <f t="shared" si="23"/>
        <v/>
      </c>
      <c r="F94" s="30" t="str">
        <f t="shared" si="24"/>
        <v/>
      </c>
      <c r="G94" s="14" t="str">
        <f t="shared" si="25"/>
        <v/>
      </c>
      <c r="H94" s="14" t="str">
        <f t="shared" si="26"/>
        <v/>
      </c>
      <c r="I94" s="31" t="str">
        <f t="shared" si="27"/>
        <v/>
      </c>
      <c r="K94" s="17" t="str">
        <f>IF(Pilotai!B90="","",Pilotai!B90)</f>
        <v/>
      </c>
      <c r="L94" s="17" t="str">
        <f>IF($K94="","",Pilotai!C90)</f>
        <v/>
      </c>
      <c r="M94" s="18" t="str">
        <f>IF($K94="","",IFERROR(INDEX(Reitingai!$G$6:$G$105,MATCH($K94,Reitingai!$B$6:$B$105,0)),0))</f>
        <v/>
      </c>
      <c r="N94" s="18" t="str">
        <f>IF($K94="","",SUM((SUMIFS(Rezultatai!$J$2:$J$500,Rezultatai!$B$2:$B$500,$K94,Rezultatai!$A$2:$A$500,((Reitingai!$C$2-1)-2),Rezultatai!$D$2:$D$500,"&lt;&gt;Papildomi (R+)")+MIN(SUMIFS(Rezultatai!$J$2:$J$500,Rezultatai!$B$2:$B$500,$K94,Rezultatai!$A$2:$A$500,((Reitingai!$C$2-1)-2),Rezultatai!$D$2:$D$500,"Papildomi (R+)"),0.15*(SUMIFS(Rezultatai!$J$2:$J$500,Rezultatai!$B$2:$B$500,$K94,Rezultatai!$A$2:$A$500,((Reitingai!$C$2-1)-2),Rezultatai!$D$2:$D$500,"&lt;&gt;Papildomi (R+)"))))*MIN(425,375+(1/70)*(SUMIFS(Parametrai!$B$2:$B$40,Parametrai!$A$2:$A$40,((Reitingai!$C$2-1)-2))-2500)),(SUMIFS(Rezultatai!$J$2:$J$500,Rezultatai!$B$2:$B$500,$K94,Rezultatai!$A$2:$A$500,((Reitingai!$C$2-1)-1),Rezultatai!$D$2:$D$500,"&lt;&gt;Papildomi (R+)")+MIN(SUMIFS(Rezultatai!$J$2:$J$500,Rezultatai!$B$2:$B$500,$K94,Rezultatai!$A$2:$A$500,((Reitingai!$C$2-1)-1),Rezultatai!$D$2:$D$500,"Papildomi (R+)"),0.15*(SUMIFS(Rezultatai!$J$2:$J$500,Rezultatai!$B$2:$B$500,$K94,Rezultatai!$A$2:$A$500,((Reitingai!$C$2-1)-1),Rezultatai!$D$2:$D$500,"&lt;&gt;Papildomi (R+)"))))*MIN(450,400+(1/70)*(SUMIFS(Parametrai!$B$2:$B$40,Parametrai!$A$2:$A$40,((Reitingai!$C$2-1)-1))-2500)),(SUMIFS(Rezultatai!$J$2:$J$500,Rezultatai!$B$2:$B$500,$K94,Rezultatai!$A$2:$A$500,(Reitingai!$C$2-1),Rezultatai!$D$2:$D$500,"&lt;&gt;Papildomi (R+)")+MIN(SUMIFS(Rezultatai!$J$2:$J$500,Rezultatai!$B$2:$B$500,$K94,Rezultatai!$A$2:$A$500,(Reitingai!$C$2-1),Rezultatai!$D$2:$D$500,"Papildomi (R+)"),0.15*(SUMIFS(Rezultatai!$J$2:$J$500,Rezultatai!$B$2:$B$500,$K94,Rezultatai!$A$2:$A$500,(Reitingai!$C$2-1),Rezultatai!$D$2:$D$500,"&lt;&gt;Papildomi (R+)"))))*MIN(550,450+(1/35)*(SUMIFS(Parametrai!$B$2:$B$40,Parametrai!$A$2:$A$40,(Reitingai!$C$2-1))-2500)))-MIN((SUMIFS(Rezultatai!$J$2:$J$500,Rezultatai!$B$2:$B$500,$K94,Rezultatai!$A$2:$A$500,((Reitingai!$C$2-1)-2),Rezultatai!$D$2:$D$500,"&lt;&gt;Papildomi (R+)")+MIN(SUMIFS(Rezultatai!$J$2:$J$500,Rezultatai!$B$2:$B$500,$K94,Rezultatai!$A$2:$A$500,((Reitingai!$C$2-1)-2),Rezultatai!$D$2:$D$500,"Papildomi (R+)"),0.15*(SUMIFS(Rezultatai!$J$2:$J$500,Rezultatai!$B$2:$B$500,$K94,Rezultatai!$A$2:$A$500,((Reitingai!$C$2-1)-2),Rezultatai!$D$2:$D$500,"&lt;&gt;Papildomi (R+)"))))*MIN(425,375+(1/70)*(SUMIFS(Parametrai!$B$2:$B$40,Parametrai!$A$2:$A$40,((Reitingai!$C$2-1)-2))-2500)),(SUMIFS(Rezultatai!$J$2:$J$500,Rezultatai!$B$2:$B$500,$K94,Rezultatai!$A$2:$A$500,((Reitingai!$C$2-1)-1),Rezultatai!$D$2:$D$500,"&lt;&gt;Papildomi (R+)")+MIN(SUMIFS(Rezultatai!$J$2:$J$500,Rezultatai!$B$2:$B$500,$K94,Rezultatai!$A$2:$A$500,((Reitingai!$C$2-1)-1),Rezultatai!$D$2:$D$500,"Papildomi (R+)"),0.15*(SUMIFS(Rezultatai!$J$2:$J$500,Rezultatai!$B$2:$B$500,$K94,Rezultatai!$A$2:$A$500,((Reitingai!$C$2-1)-1),Rezultatai!$D$2:$D$500,"&lt;&gt;Papildomi (R+)"))))*MIN(450,400+(1/70)*(SUMIFS(Parametrai!$B$2:$B$40,Parametrai!$A$2:$A$40,((Reitingai!$C$2-1)-1))-2500)),(SUMIFS(Rezultatai!$J$2:$J$500,Rezultatai!$B$2:$B$500,$K94,Rezultatai!$A$2:$A$500,(Reitingai!$C$2-1),Rezultatai!$D$2:$D$500,"&lt;&gt;Papildomi (R+)")+MIN(SUMIFS(Rezultatai!$J$2:$J$500,Rezultatai!$B$2:$B$500,$K94,Rezultatai!$A$2:$A$500,(Reitingai!$C$2-1),Rezultatai!$D$2:$D$500,"Papildomi (R+)"),0.15*(SUMIFS(Rezultatai!$J$2:$J$500,Rezultatai!$B$2:$B$500,$K94,Rezultatai!$A$2:$A$500,(Reitingai!$C$2-1),Rezultatai!$D$2:$D$500,"&lt;&gt;Papildomi (R+)"))))*MIN(550,450+(1/35)*(SUMIFS(Parametrai!$B$2:$B$40,Parametrai!$A$2:$A$40,(Reitingai!$C$2-1))-2500))))</f>
        <v/>
      </c>
      <c r="O94" s="17" t="str">
        <f t="shared" si="28"/>
        <v/>
      </c>
      <c r="P94" s="17" t="str">
        <f t="shared" si="29"/>
        <v/>
      </c>
      <c r="Q94" s="17" t="str">
        <f>IF($K94="","",$O94+COUNTIF($O$6:$O94,$O94)-1)</f>
        <v/>
      </c>
    </row>
    <row r="95" spans="1:17" ht="15" customHeight="1" x14ac:dyDescent="0.3">
      <c r="A95" s="13" t="str">
        <f>IFERROR(MATCH(90,$Q$6:$Q$105,0),"")</f>
        <v/>
      </c>
      <c r="B95" s="13" t="str">
        <f t="shared" si="20"/>
        <v/>
      </c>
      <c r="C95" s="13" t="str">
        <f t="shared" si="21"/>
        <v/>
      </c>
      <c r="D95" s="13" t="str">
        <f t="shared" si="22"/>
        <v/>
      </c>
      <c r="E95" s="16" t="str">
        <f t="shared" si="23"/>
        <v/>
      </c>
      <c r="F95" s="30" t="str">
        <f t="shared" si="24"/>
        <v/>
      </c>
      <c r="G95" s="14" t="str">
        <f t="shared" si="25"/>
        <v/>
      </c>
      <c r="H95" s="14" t="str">
        <f t="shared" si="26"/>
        <v/>
      </c>
      <c r="I95" s="31" t="str">
        <f t="shared" si="27"/>
        <v/>
      </c>
      <c r="K95" s="17" t="str">
        <f>IF(Pilotai!B91="","",Pilotai!B91)</f>
        <v/>
      </c>
      <c r="L95" s="17" t="str">
        <f>IF($K95="","",Pilotai!C91)</f>
        <v/>
      </c>
      <c r="M95" s="18" t="str">
        <f>IF($K95="","",IFERROR(INDEX(Reitingai!$G$6:$G$105,MATCH($K95,Reitingai!$B$6:$B$105,0)),0))</f>
        <v/>
      </c>
      <c r="N95" s="18" t="str">
        <f>IF($K95="","",SUM((SUMIFS(Rezultatai!$J$2:$J$500,Rezultatai!$B$2:$B$500,$K95,Rezultatai!$A$2:$A$500,((Reitingai!$C$2-1)-2),Rezultatai!$D$2:$D$500,"&lt;&gt;Papildomi (R+)")+MIN(SUMIFS(Rezultatai!$J$2:$J$500,Rezultatai!$B$2:$B$500,$K95,Rezultatai!$A$2:$A$500,((Reitingai!$C$2-1)-2),Rezultatai!$D$2:$D$500,"Papildomi (R+)"),0.15*(SUMIFS(Rezultatai!$J$2:$J$500,Rezultatai!$B$2:$B$500,$K95,Rezultatai!$A$2:$A$500,((Reitingai!$C$2-1)-2),Rezultatai!$D$2:$D$500,"&lt;&gt;Papildomi (R+)"))))*MIN(425,375+(1/70)*(SUMIFS(Parametrai!$B$2:$B$40,Parametrai!$A$2:$A$40,((Reitingai!$C$2-1)-2))-2500)),(SUMIFS(Rezultatai!$J$2:$J$500,Rezultatai!$B$2:$B$500,$K95,Rezultatai!$A$2:$A$500,((Reitingai!$C$2-1)-1),Rezultatai!$D$2:$D$500,"&lt;&gt;Papildomi (R+)")+MIN(SUMIFS(Rezultatai!$J$2:$J$500,Rezultatai!$B$2:$B$500,$K95,Rezultatai!$A$2:$A$500,((Reitingai!$C$2-1)-1),Rezultatai!$D$2:$D$500,"Papildomi (R+)"),0.15*(SUMIFS(Rezultatai!$J$2:$J$500,Rezultatai!$B$2:$B$500,$K95,Rezultatai!$A$2:$A$500,((Reitingai!$C$2-1)-1),Rezultatai!$D$2:$D$500,"&lt;&gt;Papildomi (R+)"))))*MIN(450,400+(1/70)*(SUMIFS(Parametrai!$B$2:$B$40,Parametrai!$A$2:$A$40,((Reitingai!$C$2-1)-1))-2500)),(SUMIFS(Rezultatai!$J$2:$J$500,Rezultatai!$B$2:$B$500,$K95,Rezultatai!$A$2:$A$500,(Reitingai!$C$2-1),Rezultatai!$D$2:$D$500,"&lt;&gt;Papildomi (R+)")+MIN(SUMIFS(Rezultatai!$J$2:$J$500,Rezultatai!$B$2:$B$500,$K95,Rezultatai!$A$2:$A$500,(Reitingai!$C$2-1),Rezultatai!$D$2:$D$500,"Papildomi (R+)"),0.15*(SUMIFS(Rezultatai!$J$2:$J$500,Rezultatai!$B$2:$B$500,$K95,Rezultatai!$A$2:$A$500,(Reitingai!$C$2-1),Rezultatai!$D$2:$D$500,"&lt;&gt;Papildomi (R+)"))))*MIN(550,450+(1/35)*(SUMIFS(Parametrai!$B$2:$B$40,Parametrai!$A$2:$A$40,(Reitingai!$C$2-1))-2500)))-MIN((SUMIFS(Rezultatai!$J$2:$J$500,Rezultatai!$B$2:$B$500,$K95,Rezultatai!$A$2:$A$500,((Reitingai!$C$2-1)-2),Rezultatai!$D$2:$D$500,"&lt;&gt;Papildomi (R+)")+MIN(SUMIFS(Rezultatai!$J$2:$J$500,Rezultatai!$B$2:$B$500,$K95,Rezultatai!$A$2:$A$500,((Reitingai!$C$2-1)-2),Rezultatai!$D$2:$D$500,"Papildomi (R+)"),0.15*(SUMIFS(Rezultatai!$J$2:$J$500,Rezultatai!$B$2:$B$500,$K95,Rezultatai!$A$2:$A$500,((Reitingai!$C$2-1)-2),Rezultatai!$D$2:$D$500,"&lt;&gt;Papildomi (R+)"))))*MIN(425,375+(1/70)*(SUMIFS(Parametrai!$B$2:$B$40,Parametrai!$A$2:$A$40,((Reitingai!$C$2-1)-2))-2500)),(SUMIFS(Rezultatai!$J$2:$J$500,Rezultatai!$B$2:$B$500,$K95,Rezultatai!$A$2:$A$500,((Reitingai!$C$2-1)-1),Rezultatai!$D$2:$D$500,"&lt;&gt;Papildomi (R+)")+MIN(SUMIFS(Rezultatai!$J$2:$J$500,Rezultatai!$B$2:$B$500,$K95,Rezultatai!$A$2:$A$500,((Reitingai!$C$2-1)-1),Rezultatai!$D$2:$D$500,"Papildomi (R+)"),0.15*(SUMIFS(Rezultatai!$J$2:$J$500,Rezultatai!$B$2:$B$500,$K95,Rezultatai!$A$2:$A$500,((Reitingai!$C$2-1)-1),Rezultatai!$D$2:$D$500,"&lt;&gt;Papildomi (R+)"))))*MIN(450,400+(1/70)*(SUMIFS(Parametrai!$B$2:$B$40,Parametrai!$A$2:$A$40,((Reitingai!$C$2-1)-1))-2500)),(SUMIFS(Rezultatai!$J$2:$J$500,Rezultatai!$B$2:$B$500,$K95,Rezultatai!$A$2:$A$500,(Reitingai!$C$2-1),Rezultatai!$D$2:$D$500,"&lt;&gt;Papildomi (R+)")+MIN(SUMIFS(Rezultatai!$J$2:$J$500,Rezultatai!$B$2:$B$500,$K95,Rezultatai!$A$2:$A$500,(Reitingai!$C$2-1),Rezultatai!$D$2:$D$500,"Papildomi (R+)"),0.15*(SUMIFS(Rezultatai!$J$2:$J$500,Rezultatai!$B$2:$B$500,$K95,Rezultatai!$A$2:$A$500,(Reitingai!$C$2-1),Rezultatai!$D$2:$D$500,"&lt;&gt;Papildomi (R+)"))))*MIN(550,450+(1/35)*(SUMIFS(Parametrai!$B$2:$B$40,Parametrai!$A$2:$A$40,(Reitingai!$C$2-1))-2500))))</f>
        <v/>
      </c>
      <c r="O95" s="17" t="str">
        <f t="shared" si="28"/>
        <v/>
      </c>
      <c r="P95" s="17" t="str">
        <f t="shared" si="29"/>
        <v/>
      </c>
      <c r="Q95" s="17" t="str">
        <f>IF($K95="","",$O95+COUNTIF($O$6:$O95,$O95)-1)</f>
        <v/>
      </c>
    </row>
    <row r="96" spans="1:17" ht="15" customHeight="1" x14ac:dyDescent="0.3">
      <c r="A96" s="13" t="str">
        <f>IFERROR(MATCH(91,$Q$6:$Q$105,0),"")</f>
        <v/>
      </c>
      <c r="B96" s="13" t="str">
        <f t="shared" si="20"/>
        <v/>
      </c>
      <c r="C96" s="13" t="str">
        <f t="shared" si="21"/>
        <v/>
      </c>
      <c r="D96" s="13" t="str">
        <f t="shared" si="22"/>
        <v/>
      </c>
      <c r="E96" s="16" t="str">
        <f t="shared" si="23"/>
        <v/>
      </c>
      <c r="F96" s="30" t="str">
        <f t="shared" si="24"/>
        <v/>
      </c>
      <c r="G96" s="14" t="str">
        <f t="shared" si="25"/>
        <v/>
      </c>
      <c r="H96" s="14" t="str">
        <f t="shared" si="26"/>
        <v/>
      </c>
      <c r="I96" s="31" t="str">
        <f t="shared" si="27"/>
        <v/>
      </c>
      <c r="K96" s="17" t="str">
        <f>IF(Pilotai!B92="","",Pilotai!B92)</f>
        <v/>
      </c>
      <c r="L96" s="17" t="str">
        <f>IF($K96="","",Pilotai!C92)</f>
        <v/>
      </c>
      <c r="M96" s="18" t="str">
        <f>IF($K96="","",IFERROR(INDEX(Reitingai!$G$6:$G$105,MATCH($K96,Reitingai!$B$6:$B$105,0)),0))</f>
        <v/>
      </c>
      <c r="N96" s="18" t="str">
        <f>IF($K96="","",SUM((SUMIFS(Rezultatai!$J$2:$J$500,Rezultatai!$B$2:$B$500,$K96,Rezultatai!$A$2:$A$500,((Reitingai!$C$2-1)-2),Rezultatai!$D$2:$D$500,"&lt;&gt;Papildomi (R+)")+MIN(SUMIFS(Rezultatai!$J$2:$J$500,Rezultatai!$B$2:$B$500,$K96,Rezultatai!$A$2:$A$500,((Reitingai!$C$2-1)-2),Rezultatai!$D$2:$D$500,"Papildomi (R+)"),0.15*(SUMIFS(Rezultatai!$J$2:$J$500,Rezultatai!$B$2:$B$500,$K96,Rezultatai!$A$2:$A$500,((Reitingai!$C$2-1)-2),Rezultatai!$D$2:$D$500,"&lt;&gt;Papildomi (R+)"))))*MIN(425,375+(1/70)*(SUMIFS(Parametrai!$B$2:$B$40,Parametrai!$A$2:$A$40,((Reitingai!$C$2-1)-2))-2500)),(SUMIFS(Rezultatai!$J$2:$J$500,Rezultatai!$B$2:$B$500,$K96,Rezultatai!$A$2:$A$500,((Reitingai!$C$2-1)-1),Rezultatai!$D$2:$D$500,"&lt;&gt;Papildomi (R+)")+MIN(SUMIFS(Rezultatai!$J$2:$J$500,Rezultatai!$B$2:$B$500,$K96,Rezultatai!$A$2:$A$500,((Reitingai!$C$2-1)-1),Rezultatai!$D$2:$D$500,"Papildomi (R+)"),0.15*(SUMIFS(Rezultatai!$J$2:$J$500,Rezultatai!$B$2:$B$500,$K96,Rezultatai!$A$2:$A$500,((Reitingai!$C$2-1)-1),Rezultatai!$D$2:$D$500,"&lt;&gt;Papildomi (R+)"))))*MIN(450,400+(1/70)*(SUMIFS(Parametrai!$B$2:$B$40,Parametrai!$A$2:$A$40,((Reitingai!$C$2-1)-1))-2500)),(SUMIFS(Rezultatai!$J$2:$J$500,Rezultatai!$B$2:$B$500,$K96,Rezultatai!$A$2:$A$500,(Reitingai!$C$2-1),Rezultatai!$D$2:$D$500,"&lt;&gt;Papildomi (R+)")+MIN(SUMIFS(Rezultatai!$J$2:$J$500,Rezultatai!$B$2:$B$500,$K96,Rezultatai!$A$2:$A$500,(Reitingai!$C$2-1),Rezultatai!$D$2:$D$500,"Papildomi (R+)"),0.15*(SUMIFS(Rezultatai!$J$2:$J$500,Rezultatai!$B$2:$B$500,$K96,Rezultatai!$A$2:$A$500,(Reitingai!$C$2-1),Rezultatai!$D$2:$D$500,"&lt;&gt;Papildomi (R+)"))))*MIN(550,450+(1/35)*(SUMIFS(Parametrai!$B$2:$B$40,Parametrai!$A$2:$A$40,(Reitingai!$C$2-1))-2500)))-MIN((SUMIFS(Rezultatai!$J$2:$J$500,Rezultatai!$B$2:$B$500,$K96,Rezultatai!$A$2:$A$500,((Reitingai!$C$2-1)-2),Rezultatai!$D$2:$D$500,"&lt;&gt;Papildomi (R+)")+MIN(SUMIFS(Rezultatai!$J$2:$J$500,Rezultatai!$B$2:$B$500,$K96,Rezultatai!$A$2:$A$500,((Reitingai!$C$2-1)-2),Rezultatai!$D$2:$D$500,"Papildomi (R+)"),0.15*(SUMIFS(Rezultatai!$J$2:$J$500,Rezultatai!$B$2:$B$500,$K96,Rezultatai!$A$2:$A$500,((Reitingai!$C$2-1)-2),Rezultatai!$D$2:$D$500,"&lt;&gt;Papildomi (R+)"))))*MIN(425,375+(1/70)*(SUMIFS(Parametrai!$B$2:$B$40,Parametrai!$A$2:$A$40,((Reitingai!$C$2-1)-2))-2500)),(SUMIFS(Rezultatai!$J$2:$J$500,Rezultatai!$B$2:$B$500,$K96,Rezultatai!$A$2:$A$500,((Reitingai!$C$2-1)-1),Rezultatai!$D$2:$D$500,"&lt;&gt;Papildomi (R+)")+MIN(SUMIFS(Rezultatai!$J$2:$J$500,Rezultatai!$B$2:$B$500,$K96,Rezultatai!$A$2:$A$500,((Reitingai!$C$2-1)-1),Rezultatai!$D$2:$D$500,"Papildomi (R+)"),0.15*(SUMIFS(Rezultatai!$J$2:$J$500,Rezultatai!$B$2:$B$500,$K96,Rezultatai!$A$2:$A$500,((Reitingai!$C$2-1)-1),Rezultatai!$D$2:$D$500,"&lt;&gt;Papildomi (R+)"))))*MIN(450,400+(1/70)*(SUMIFS(Parametrai!$B$2:$B$40,Parametrai!$A$2:$A$40,((Reitingai!$C$2-1)-1))-2500)),(SUMIFS(Rezultatai!$J$2:$J$500,Rezultatai!$B$2:$B$500,$K96,Rezultatai!$A$2:$A$500,(Reitingai!$C$2-1),Rezultatai!$D$2:$D$500,"&lt;&gt;Papildomi (R+)")+MIN(SUMIFS(Rezultatai!$J$2:$J$500,Rezultatai!$B$2:$B$500,$K96,Rezultatai!$A$2:$A$500,(Reitingai!$C$2-1),Rezultatai!$D$2:$D$500,"Papildomi (R+)"),0.15*(SUMIFS(Rezultatai!$J$2:$J$500,Rezultatai!$B$2:$B$500,$K96,Rezultatai!$A$2:$A$500,(Reitingai!$C$2-1),Rezultatai!$D$2:$D$500,"&lt;&gt;Papildomi (R+)"))))*MIN(550,450+(1/35)*(SUMIFS(Parametrai!$B$2:$B$40,Parametrai!$A$2:$A$40,(Reitingai!$C$2-1))-2500))))</f>
        <v/>
      </c>
      <c r="O96" s="17" t="str">
        <f t="shared" si="28"/>
        <v/>
      </c>
      <c r="P96" s="17" t="str">
        <f t="shared" si="29"/>
        <v/>
      </c>
      <c r="Q96" s="17" t="str">
        <f>IF($K96="","",$O96+COUNTIF($O$6:$O96,$O96)-1)</f>
        <v/>
      </c>
    </row>
    <row r="97" spans="1:17" ht="15" customHeight="1" x14ac:dyDescent="0.3">
      <c r="A97" s="13" t="str">
        <f>IFERROR(MATCH(92,$Q$6:$Q$105,0),"")</f>
        <v/>
      </c>
      <c r="B97" s="13" t="str">
        <f t="shared" si="20"/>
        <v/>
      </c>
      <c r="C97" s="13" t="str">
        <f t="shared" si="21"/>
        <v/>
      </c>
      <c r="D97" s="13" t="str">
        <f t="shared" si="22"/>
        <v/>
      </c>
      <c r="E97" s="16" t="str">
        <f t="shared" si="23"/>
        <v/>
      </c>
      <c r="F97" s="30" t="str">
        <f t="shared" si="24"/>
        <v/>
      </c>
      <c r="G97" s="14" t="str">
        <f t="shared" si="25"/>
        <v/>
      </c>
      <c r="H97" s="14" t="str">
        <f t="shared" si="26"/>
        <v/>
      </c>
      <c r="I97" s="31" t="str">
        <f t="shared" si="27"/>
        <v/>
      </c>
      <c r="K97" s="17" t="str">
        <f>IF(Pilotai!B93="","",Pilotai!B93)</f>
        <v/>
      </c>
      <c r="L97" s="17" t="str">
        <f>IF($K97="","",Pilotai!C93)</f>
        <v/>
      </c>
      <c r="M97" s="18" t="str">
        <f>IF($K97="","",IFERROR(INDEX(Reitingai!$G$6:$G$105,MATCH($K97,Reitingai!$B$6:$B$105,0)),0))</f>
        <v/>
      </c>
      <c r="N97" s="18" t="str">
        <f>IF($K97="","",SUM((SUMIFS(Rezultatai!$J$2:$J$500,Rezultatai!$B$2:$B$500,$K97,Rezultatai!$A$2:$A$500,((Reitingai!$C$2-1)-2),Rezultatai!$D$2:$D$500,"&lt;&gt;Papildomi (R+)")+MIN(SUMIFS(Rezultatai!$J$2:$J$500,Rezultatai!$B$2:$B$500,$K97,Rezultatai!$A$2:$A$500,((Reitingai!$C$2-1)-2),Rezultatai!$D$2:$D$500,"Papildomi (R+)"),0.15*(SUMIFS(Rezultatai!$J$2:$J$500,Rezultatai!$B$2:$B$500,$K97,Rezultatai!$A$2:$A$500,((Reitingai!$C$2-1)-2),Rezultatai!$D$2:$D$500,"&lt;&gt;Papildomi (R+)"))))*MIN(425,375+(1/70)*(SUMIFS(Parametrai!$B$2:$B$40,Parametrai!$A$2:$A$40,((Reitingai!$C$2-1)-2))-2500)),(SUMIFS(Rezultatai!$J$2:$J$500,Rezultatai!$B$2:$B$500,$K97,Rezultatai!$A$2:$A$500,((Reitingai!$C$2-1)-1),Rezultatai!$D$2:$D$500,"&lt;&gt;Papildomi (R+)")+MIN(SUMIFS(Rezultatai!$J$2:$J$500,Rezultatai!$B$2:$B$500,$K97,Rezultatai!$A$2:$A$500,((Reitingai!$C$2-1)-1),Rezultatai!$D$2:$D$500,"Papildomi (R+)"),0.15*(SUMIFS(Rezultatai!$J$2:$J$500,Rezultatai!$B$2:$B$500,$K97,Rezultatai!$A$2:$A$500,((Reitingai!$C$2-1)-1),Rezultatai!$D$2:$D$500,"&lt;&gt;Papildomi (R+)"))))*MIN(450,400+(1/70)*(SUMIFS(Parametrai!$B$2:$B$40,Parametrai!$A$2:$A$40,((Reitingai!$C$2-1)-1))-2500)),(SUMIFS(Rezultatai!$J$2:$J$500,Rezultatai!$B$2:$B$500,$K97,Rezultatai!$A$2:$A$500,(Reitingai!$C$2-1),Rezultatai!$D$2:$D$500,"&lt;&gt;Papildomi (R+)")+MIN(SUMIFS(Rezultatai!$J$2:$J$500,Rezultatai!$B$2:$B$500,$K97,Rezultatai!$A$2:$A$500,(Reitingai!$C$2-1),Rezultatai!$D$2:$D$500,"Papildomi (R+)"),0.15*(SUMIFS(Rezultatai!$J$2:$J$500,Rezultatai!$B$2:$B$500,$K97,Rezultatai!$A$2:$A$500,(Reitingai!$C$2-1),Rezultatai!$D$2:$D$500,"&lt;&gt;Papildomi (R+)"))))*MIN(550,450+(1/35)*(SUMIFS(Parametrai!$B$2:$B$40,Parametrai!$A$2:$A$40,(Reitingai!$C$2-1))-2500)))-MIN((SUMIFS(Rezultatai!$J$2:$J$500,Rezultatai!$B$2:$B$500,$K97,Rezultatai!$A$2:$A$500,((Reitingai!$C$2-1)-2),Rezultatai!$D$2:$D$500,"&lt;&gt;Papildomi (R+)")+MIN(SUMIFS(Rezultatai!$J$2:$J$500,Rezultatai!$B$2:$B$500,$K97,Rezultatai!$A$2:$A$500,((Reitingai!$C$2-1)-2),Rezultatai!$D$2:$D$500,"Papildomi (R+)"),0.15*(SUMIFS(Rezultatai!$J$2:$J$500,Rezultatai!$B$2:$B$500,$K97,Rezultatai!$A$2:$A$500,((Reitingai!$C$2-1)-2),Rezultatai!$D$2:$D$500,"&lt;&gt;Papildomi (R+)"))))*MIN(425,375+(1/70)*(SUMIFS(Parametrai!$B$2:$B$40,Parametrai!$A$2:$A$40,((Reitingai!$C$2-1)-2))-2500)),(SUMIFS(Rezultatai!$J$2:$J$500,Rezultatai!$B$2:$B$500,$K97,Rezultatai!$A$2:$A$500,((Reitingai!$C$2-1)-1),Rezultatai!$D$2:$D$500,"&lt;&gt;Papildomi (R+)")+MIN(SUMIFS(Rezultatai!$J$2:$J$500,Rezultatai!$B$2:$B$500,$K97,Rezultatai!$A$2:$A$500,((Reitingai!$C$2-1)-1),Rezultatai!$D$2:$D$500,"Papildomi (R+)"),0.15*(SUMIFS(Rezultatai!$J$2:$J$500,Rezultatai!$B$2:$B$500,$K97,Rezultatai!$A$2:$A$500,((Reitingai!$C$2-1)-1),Rezultatai!$D$2:$D$500,"&lt;&gt;Papildomi (R+)"))))*MIN(450,400+(1/70)*(SUMIFS(Parametrai!$B$2:$B$40,Parametrai!$A$2:$A$40,((Reitingai!$C$2-1)-1))-2500)),(SUMIFS(Rezultatai!$J$2:$J$500,Rezultatai!$B$2:$B$500,$K97,Rezultatai!$A$2:$A$500,(Reitingai!$C$2-1),Rezultatai!$D$2:$D$500,"&lt;&gt;Papildomi (R+)")+MIN(SUMIFS(Rezultatai!$J$2:$J$500,Rezultatai!$B$2:$B$500,$K97,Rezultatai!$A$2:$A$500,(Reitingai!$C$2-1),Rezultatai!$D$2:$D$500,"Papildomi (R+)"),0.15*(SUMIFS(Rezultatai!$J$2:$J$500,Rezultatai!$B$2:$B$500,$K97,Rezultatai!$A$2:$A$500,(Reitingai!$C$2-1),Rezultatai!$D$2:$D$500,"&lt;&gt;Papildomi (R+)"))))*MIN(550,450+(1/35)*(SUMIFS(Parametrai!$B$2:$B$40,Parametrai!$A$2:$A$40,(Reitingai!$C$2-1))-2500))))</f>
        <v/>
      </c>
      <c r="O97" s="17" t="str">
        <f t="shared" si="28"/>
        <v/>
      </c>
      <c r="P97" s="17" t="str">
        <f t="shared" si="29"/>
        <v/>
      </c>
      <c r="Q97" s="17" t="str">
        <f>IF($K97="","",$O97+COUNTIF($O$6:$O97,$O97)-1)</f>
        <v/>
      </c>
    </row>
    <row r="98" spans="1:17" ht="15" customHeight="1" x14ac:dyDescent="0.3">
      <c r="A98" s="13" t="str">
        <f>IFERROR(MATCH(93,$Q$6:$Q$105,0),"")</f>
        <v/>
      </c>
      <c r="B98" s="13" t="str">
        <f t="shared" si="20"/>
        <v/>
      </c>
      <c r="C98" s="13" t="str">
        <f t="shared" si="21"/>
        <v/>
      </c>
      <c r="D98" s="13" t="str">
        <f t="shared" si="22"/>
        <v/>
      </c>
      <c r="E98" s="16" t="str">
        <f t="shared" si="23"/>
        <v/>
      </c>
      <c r="F98" s="30" t="str">
        <f t="shared" si="24"/>
        <v/>
      </c>
      <c r="G98" s="14" t="str">
        <f t="shared" si="25"/>
        <v/>
      </c>
      <c r="H98" s="14" t="str">
        <f t="shared" si="26"/>
        <v/>
      </c>
      <c r="I98" s="31" t="str">
        <f t="shared" si="27"/>
        <v/>
      </c>
      <c r="K98" s="17" t="str">
        <f>IF(Pilotai!B94="","",Pilotai!B94)</f>
        <v/>
      </c>
      <c r="L98" s="17" t="str">
        <f>IF($K98="","",Pilotai!C94)</f>
        <v/>
      </c>
      <c r="M98" s="18" t="str">
        <f>IF($K98="","",IFERROR(INDEX(Reitingai!$G$6:$G$105,MATCH($K98,Reitingai!$B$6:$B$105,0)),0))</f>
        <v/>
      </c>
      <c r="N98" s="18" t="str">
        <f>IF($K98="","",SUM((SUMIFS(Rezultatai!$J$2:$J$500,Rezultatai!$B$2:$B$500,$K98,Rezultatai!$A$2:$A$500,((Reitingai!$C$2-1)-2),Rezultatai!$D$2:$D$500,"&lt;&gt;Papildomi (R+)")+MIN(SUMIFS(Rezultatai!$J$2:$J$500,Rezultatai!$B$2:$B$500,$K98,Rezultatai!$A$2:$A$500,((Reitingai!$C$2-1)-2),Rezultatai!$D$2:$D$500,"Papildomi (R+)"),0.15*(SUMIFS(Rezultatai!$J$2:$J$500,Rezultatai!$B$2:$B$500,$K98,Rezultatai!$A$2:$A$500,((Reitingai!$C$2-1)-2),Rezultatai!$D$2:$D$500,"&lt;&gt;Papildomi (R+)"))))*MIN(425,375+(1/70)*(SUMIFS(Parametrai!$B$2:$B$40,Parametrai!$A$2:$A$40,((Reitingai!$C$2-1)-2))-2500)),(SUMIFS(Rezultatai!$J$2:$J$500,Rezultatai!$B$2:$B$500,$K98,Rezultatai!$A$2:$A$500,((Reitingai!$C$2-1)-1),Rezultatai!$D$2:$D$500,"&lt;&gt;Papildomi (R+)")+MIN(SUMIFS(Rezultatai!$J$2:$J$500,Rezultatai!$B$2:$B$500,$K98,Rezultatai!$A$2:$A$500,((Reitingai!$C$2-1)-1),Rezultatai!$D$2:$D$500,"Papildomi (R+)"),0.15*(SUMIFS(Rezultatai!$J$2:$J$500,Rezultatai!$B$2:$B$500,$K98,Rezultatai!$A$2:$A$500,((Reitingai!$C$2-1)-1),Rezultatai!$D$2:$D$500,"&lt;&gt;Papildomi (R+)"))))*MIN(450,400+(1/70)*(SUMIFS(Parametrai!$B$2:$B$40,Parametrai!$A$2:$A$40,((Reitingai!$C$2-1)-1))-2500)),(SUMIFS(Rezultatai!$J$2:$J$500,Rezultatai!$B$2:$B$500,$K98,Rezultatai!$A$2:$A$500,(Reitingai!$C$2-1),Rezultatai!$D$2:$D$500,"&lt;&gt;Papildomi (R+)")+MIN(SUMIFS(Rezultatai!$J$2:$J$500,Rezultatai!$B$2:$B$500,$K98,Rezultatai!$A$2:$A$500,(Reitingai!$C$2-1),Rezultatai!$D$2:$D$500,"Papildomi (R+)"),0.15*(SUMIFS(Rezultatai!$J$2:$J$500,Rezultatai!$B$2:$B$500,$K98,Rezultatai!$A$2:$A$500,(Reitingai!$C$2-1),Rezultatai!$D$2:$D$500,"&lt;&gt;Papildomi (R+)"))))*MIN(550,450+(1/35)*(SUMIFS(Parametrai!$B$2:$B$40,Parametrai!$A$2:$A$40,(Reitingai!$C$2-1))-2500)))-MIN((SUMIFS(Rezultatai!$J$2:$J$500,Rezultatai!$B$2:$B$500,$K98,Rezultatai!$A$2:$A$500,((Reitingai!$C$2-1)-2),Rezultatai!$D$2:$D$500,"&lt;&gt;Papildomi (R+)")+MIN(SUMIFS(Rezultatai!$J$2:$J$500,Rezultatai!$B$2:$B$500,$K98,Rezultatai!$A$2:$A$500,((Reitingai!$C$2-1)-2),Rezultatai!$D$2:$D$500,"Papildomi (R+)"),0.15*(SUMIFS(Rezultatai!$J$2:$J$500,Rezultatai!$B$2:$B$500,$K98,Rezultatai!$A$2:$A$500,((Reitingai!$C$2-1)-2),Rezultatai!$D$2:$D$500,"&lt;&gt;Papildomi (R+)"))))*MIN(425,375+(1/70)*(SUMIFS(Parametrai!$B$2:$B$40,Parametrai!$A$2:$A$40,((Reitingai!$C$2-1)-2))-2500)),(SUMIFS(Rezultatai!$J$2:$J$500,Rezultatai!$B$2:$B$500,$K98,Rezultatai!$A$2:$A$500,((Reitingai!$C$2-1)-1),Rezultatai!$D$2:$D$500,"&lt;&gt;Papildomi (R+)")+MIN(SUMIFS(Rezultatai!$J$2:$J$500,Rezultatai!$B$2:$B$500,$K98,Rezultatai!$A$2:$A$500,((Reitingai!$C$2-1)-1),Rezultatai!$D$2:$D$500,"Papildomi (R+)"),0.15*(SUMIFS(Rezultatai!$J$2:$J$500,Rezultatai!$B$2:$B$500,$K98,Rezultatai!$A$2:$A$500,((Reitingai!$C$2-1)-1),Rezultatai!$D$2:$D$500,"&lt;&gt;Papildomi (R+)"))))*MIN(450,400+(1/70)*(SUMIFS(Parametrai!$B$2:$B$40,Parametrai!$A$2:$A$40,((Reitingai!$C$2-1)-1))-2500)),(SUMIFS(Rezultatai!$J$2:$J$500,Rezultatai!$B$2:$B$500,$K98,Rezultatai!$A$2:$A$500,(Reitingai!$C$2-1),Rezultatai!$D$2:$D$500,"&lt;&gt;Papildomi (R+)")+MIN(SUMIFS(Rezultatai!$J$2:$J$500,Rezultatai!$B$2:$B$500,$K98,Rezultatai!$A$2:$A$500,(Reitingai!$C$2-1),Rezultatai!$D$2:$D$500,"Papildomi (R+)"),0.15*(SUMIFS(Rezultatai!$J$2:$J$500,Rezultatai!$B$2:$B$500,$K98,Rezultatai!$A$2:$A$500,(Reitingai!$C$2-1),Rezultatai!$D$2:$D$500,"&lt;&gt;Papildomi (R+)"))))*MIN(550,450+(1/35)*(SUMIFS(Parametrai!$B$2:$B$40,Parametrai!$A$2:$A$40,(Reitingai!$C$2-1))-2500))))</f>
        <v/>
      </c>
      <c r="O98" s="17" t="str">
        <f t="shared" si="28"/>
        <v/>
      </c>
      <c r="P98" s="17" t="str">
        <f t="shared" si="29"/>
        <v/>
      </c>
      <c r="Q98" s="17" t="str">
        <f>IF($K98="","",$O98+COUNTIF($O$6:$O98,$O98)-1)</f>
        <v/>
      </c>
    </row>
    <row r="99" spans="1:17" ht="15" customHeight="1" x14ac:dyDescent="0.3">
      <c r="A99" s="13" t="str">
        <f>IFERROR(MATCH(94,$Q$6:$Q$105,0),"")</f>
        <v/>
      </c>
      <c r="B99" s="13" t="str">
        <f t="shared" si="20"/>
        <v/>
      </c>
      <c r="C99" s="13" t="str">
        <f t="shared" si="21"/>
        <v/>
      </c>
      <c r="D99" s="13" t="str">
        <f t="shared" si="22"/>
        <v/>
      </c>
      <c r="E99" s="16" t="str">
        <f t="shared" si="23"/>
        <v/>
      </c>
      <c r="F99" s="30" t="str">
        <f t="shared" si="24"/>
        <v/>
      </c>
      <c r="G99" s="14" t="str">
        <f t="shared" si="25"/>
        <v/>
      </c>
      <c r="H99" s="14" t="str">
        <f t="shared" si="26"/>
        <v/>
      </c>
      <c r="I99" s="31" t="str">
        <f t="shared" si="27"/>
        <v/>
      </c>
      <c r="K99" s="17" t="str">
        <f>IF(Pilotai!B95="","",Pilotai!B95)</f>
        <v/>
      </c>
      <c r="L99" s="17" t="str">
        <f>IF($K99="","",Pilotai!C95)</f>
        <v/>
      </c>
      <c r="M99" s="18" t="str">
        <f>IF($K99="","",IFERROR(INDEX(Reitingai!$G$6:$G$105,MATCH($K99,Reitingai!$B$6:$B$105,0)),0))</f>
        <v/>
      </c>
      <c r="N99" s="18" t="str">
        <f>IF($K99="","",SUM((SUMIFS(Rezultatai!$J$2:$J$500,Rezultatai!$B$2:$B$500,$K99,Rezultatai!$A$2:$A$500,((Reitingai!$C$2-1)-2),Rezultatai!$D$2:$D$500,"&lt;&gt;Papildomi (R+)")+MIN(SUMIFS(Rezultatai!$J$2:$J$500,Rezultatai!$B$2:$B$500,$K99,Rezultatai!$A$2:$A$500,((Reitingai!$C$2-1)-2),Rezultatai!$D$2:$D$500,"Papildomi (R+)"),0.15*(SUMIFS(Rezultatai!$J$2:$J$500,Rezultatai!$B$2:$B$500,$K99,Rezultatai!$A$2:$A$500,((Reitingai!$C$2-1)-2),Rezultatai!$D$2:$D$500,"&lt;&gt;Papildomi (R+)"))))*MIN(425,375+(1/70)*(SUMIFS(Parametrai!$B$2:$B$40,Parametrai!$A$2:$A$40,((Reitingai!$C$2-1)-2))-2500)),(SUMIFS(Rezultatai!$J$2:$J$500,Rezultatai!$B$2:$B$500,$K99,Rezultatai!$A$2:$A$500,((Reitingai!$C$2-1)-1),Rezultatai!$D$2:$D$500,"&lt;&gt;Papildomi (R+)")+MIN(SUMIFS(Rezultatai!$J$2:$J$500,Rezultatai!$B$2:$B$500,$K99,Rezultatai!$A$2:$A$500,((Reitingai!$C$2-1)-1),Rezultatai!$D$2:$D$500,"Papildomi (R+)"),0.15*(SUMIFS(Rezultatai!$J$2:$J$500,Rezultatai!$B$2:$B$500,$K99,Rezultatai!$A$2:$A$500,((Reitingai!$C$2-1)-1),Rezultatai!$D$2:$D$500,"&lt;&gt;Papildomi (R+)"))))*MIN(450,400+(1/70)*(SUMIFS(Parametrai!$B$2:$B$40,Parametrai!$A$2:$A$40,((Reitingai!$C$2-1)-1))-2500)),(SUMIFS(Rezultatai!$J$2:$J$500,Rezultatai!$B$2:$B$500,$K99,Rezultatai!$A$2:$A$500,(Reitingai!$C$2-1),Rezultatai!$D$2:$D$500,"&lt;&gt;Papildomi (R+)")+MIN(SUMIFS(Rezultatai!$J$2:$J$500,Rezultatai!$B$2:$B$500,$K99,Rezultatai!$A$2:$A$500,(Reitingai!$C$2-1),Rezultatai!$D$2:$D$500,"Papildomi (R+)"),0.15*(SUMIFS(Rezultatai!$J$2:$J$500,Rezultatai!$B$2:$B$500,$K99,Rezultatai!$A$2:$A$500,(Reitingai!$C$2-1),Rezultatai!$D$2:$D$500,"&lt;&gt;Papildomi (R+)"))))*MIN(550,450+(1/35)*(SUMIFS(Parametrai!$B$2:$B$40,Parametrai!$A$2:$A$40,(Reitingai!$C$2-1))-2500)))-MIN((SUMIFS(Rezultatai!$J$2:$J$500,Rezultatai!$B$2:$B$500,$K99,Rezultatai!$A$2:$A$500,((Reitingai!$C$2-1)-2),Rezultatai!$D$2:$D$500,"&lt;&gt;Papildomi (R+)")+MIN(SUMIFS(Rezultatai!$J$2:$J$500,Rezultatai!$B$2:$B$500,$K99,Rezultatai!$A$2:$A$500,((Reitingai!$C$2-1)-2),Rezultatai!$D$2:$D$500,"Papildomi (R+)"),0.15*(SUMIFS(Rezultatai!$J$2:$J$500,Rezultatai!$B$2:$B$500,$K99,Rezultatai!$A$2:$A$500,((Reitingai!$C$2-1)-2),Rezultatai!$D$2:$D$500,"&lt;&gt;Papildomi (R+)"))))*MIN(425,375+(1/70)*(SUMIFS(Parametrai!$B$2:$B$40,Parametrai!$A$2:$A$40,((Reitingai!$C$2-1)-2))-2500)),(SUMIFS(Rezultatai!$J$2:$J$500,Rezultatai!$B$2:$B$500,$K99,Rezultatai!$A$2:$A$500,((Reitingai!$C$2-1)-1),Rezultatai!$D$2:$D$500,"&lt;&gt;Papildomi (R+)")+MIN(SUMIFS(Rezultatai!$J$2:$J$500,Rezultatai!$B$2:$B$500,$K99,Rezultatai!$A$2:$A$500,((Reitingai!$C$2-1)-1),Rezultatai!$D$2:$D$500,"Papildomi (R+)"),0.15*(SUMIFS(Rezultatai!$J$2:$J$500,Rezultatai!$B$2:$B$500,$K99,Rezultatai!$A$2:$A$500,((Reitingai!$C$2-1)-1),Rezultatai!$D$2:$D$500,"&lt;&gt;Papildomi (R+)"))))*MIN(450,400+(1/70)*(SUMIFS(Parametrai!$B$2:$B$40,Parametrai!$A$2:$A$40,((Reitingai!$C$2-1)-1))-2500)),(SUMIFS(Rezultatai!$J$2:$J$500,Rezultatai!$B$2:$B$500,$K99,Rezultatai!$A$2:$A$500,(Reitingai!$C$2-1),Rezultatai!$D$2:$D$500,"&lt;&gt;Papildomi (R+)")+MIN(SUMIFS(Rezultatai!$J$2:$J$500,Rezultatai!$B$2:$B$500,$K99,Rezultatai!$A$2:$A$500,(Reitingai!$C$2-1),Rezultatai!$D$2:$D$500,"Papildomi (R+)"),0.15*(SUMIFS(Rezultatai!$J$2:$J$500,Rezultatai!$B$2:$B$500,$K99,Rezultatai!$A$2:$A$500,(Reitingai!$C$2-1),Rezultatai!$D$2:$D$500,"&lt;&gt;Papildomi (R+)"))))*MIN(550,450+(1/35)*(SUMIFS(Parametrai!$B$2:$B$40,Parametrai!$A$2:$A$40,(Reitingai!$C$2-1))-2500))))</f>
        <v/>
      </c>
      <c r="O99" s="17" t="str">
        <f t="shared" si="28"/>
        <v/>
      </c>
      <c r="P99" s="17" t="str">
        <f t="shared" si="29"/>
        <v/>
      </c>
      <c r="Q99" s="17" t="str">
        <f>IF($K99="","",$O99+COUNTIF($O$6:$O99,$O99)-1)</f>
        <v/>
      </c>
    </row>
    <row r="100" spans="1:17" ht="15" customHeight="1" x14ac:dyDescent="0.3">
      <c r="A100" s="13" t="str">
        <f>IFERROR(MATCH(95,$Q$6:$Q$105,0),"")</f>
        <v/>
      </c>
      <c r="B100" s="13" t="str">
        <f t="shared" si="20"/>
        <v/>
      </c>
      <c r="C100" s="13" t="str">
        <f t="shared" si="21"/>
        <v/>
      </c>
      <c r="D100" s="13" t="str">
        <f t="shared" si="22"/>
        <v/>
      </c>
      <c r="E100" s="16" t="str">
        <f t="shared" si="23"/>
        <v/>
      </c>
      <c r="F100" s="30" t="str">
        <f t="shared" si="24"/>
        <v/>
      </c>
      <c r="G100" s="14" t="str">
        <f t="shared" si="25"/>
        <v/>
      </c>
      <c r="H100" s="14" t="str">
        <f t="shared" si="26"/>
        <v/>
      </c>
      <c r="I100" s="31" t="str">
        <f t="shared" si="27"/>
        <v/>
      </c>
      <c r="K100" s="17" t="str">
        <f>IF(Pilotai!B96="","",Pilotai!B96)</f>
        <v/>
      </c>
      <c r="L100" s="17" t="str">
        <f>IF($K100="","",Pilotai!C96)</f>
        <v/>
      </c>
      <c r="M100" s="18" t="str">
        <f>IF($K100="","",IFERROR(INDEX(Reitingai!$G$6:$G$105,MATCH($K100,Reitingai!$B$6:$B$105,0)),0))</f>
        <v/>
      </c>
      <c r="N100" s="18" t="str">
        <f>IF($K100="","",SUM((SUMIFS(Rezultatai!$J$2:$J$500,Rezultatai!$B$2:$B$500,$K100,Rezultatai!$A$2:$A$500,((Reitingai!$C$2-1)-2),Rezultatai!$D$2:$D$500,"&lt;&gt;Papildomi (R+)")+MIN(SUMIFS(Rezultatai!$J$2:$J$500,Rezultatai!$B$2:$B$500,$K100,Rezultatai!$A$2:$A$500,((Reitingai!$C$2-1)-2),Rezultatai!$D$2:$D$500,"Papildomi (R+)"),0.15*(SUMIFS(Rezultatai!$J$2:$J$500,Rezultatai!$B$2:$B$500,$K100,Rezultatai!$A$2:$A$500,((Reitingai!$C$2-1)-2),Rezultatai!$D$2:$D$500,"&lt;&gt;Papildomi (R+)"))))*MIN(425,375+(1/70)*(SUMIFS(Parametrai!$B$2:$B$40,Parametrai!$A$2:$A$40,((Reitingai!$C$2-1)-2))-2500)),(SUMIFS(Rezultatai!$J$2:$J$500,Rezultatai!$B$2:$B$500,$K100,Rezultatai!$A$2:$A$500,((Reitingai!$C$2-1)-1),Rezultatai!$D$2:$D$500,"&lt;&gt;Papildomi (R+)")+MIN(SUMIFS(Rezultatai!$J$2:$J$500,Rezultatai!$B$2:$B$500,$K100,Rezultatai!$A$2:$A$500,((Reitingai!$C$2-1)-1),Rezultatai!$D$2:$D$500,"Papildomi (R+)"),0.15*(SUMIFS(Rezultatai!$J$2:$J$500,Rezultatai!$B$2:$B$500,$K100,Rezultatai!$A$2:$A$500,((Reitingai!$C$2-1)-1),Rezultatai!$D$2:$D$500,"&lt;&gt;Papildomi (R+)"))))*MIN(450,400+(1/70)*(SUMIFS(Parametrai!$B$2:$B$40,Parametrai!$A$2:$A$40,((Reitingai!$C$2-1)-1))-2500)),(SUMIFS(Rezultatai!$J$2:$J$500,Rezultatai!$B$2:$B$500,$K100,Rezultatai!$A$2:$A$500,(Reitingai!$C$2-1),Rezultatai!$D$2:$D$500,"&lt;&gt;Papildomi (R+)")+MIN(SUMIFS(Rezultatai!$J$2:$J$500,Rezultatai!$B$2:$B$500,$K100,Rezultatai!$A$2:$A$500,(Reitingai!$C$2-1),Rezultatai!$D$2:$D$500,"Papildomi (R+)"),0.15*(SUMIFS(Rezultatai!$J$2:$J$500,Rezultatai!$B$2:$B$500,$K100,Rezultatai!$A$2:$A$500,(Reitingai!$C$2-1),Rezultatai!$D$2:$D$500,"&lt;&gt;Papildomi (R+)"))))*MIN(550,450+(1/35)*(SUMIFS(Parametrai!$B$2:$B$40,Parametrai!$A$2:$A$40,(Reitingai!$C$2-1))-2500)))-MIN((SUMIFS(Rezultatai!$J$2:$J$500,Rezultatai!$B$2:$B$500,$K100,Rezultatai!$A$2:$A$500,((Reitingai!$C$2-1)-2),Rezultatai!$D$2:$D$500,"&lt;&gt;Papildomi (R+)")+MIN(SUMIFS(Rezultatai!$J$2:$J$500,Rezultatai!$B$2:$B$500,$K100,Rezultatai!$A$2:$A$500,((Reitingai!$C$2-1)-2),Rezultatai!$D$2:$D$500,"Papildomi (R+)"),0.15*(SUMIFS(Rezultatai!$J$2:$J$500,Rezultatai!$B$2:$B$500,$K100,Rezultatai!$A$2:$A$500,((Reitingai!$C$2-1)-2),Rezultatai!$D$2:$D$500,"&lt;&gt;Papildomi (R+)"))))*MIN(425,375+(1/70)*(SUMIFS(Parametrai!$B$2:$B$40,Parametrai!$A$2:$A$40,((Reitingai!$C$2-1)-2))-2500)),(SUMIFS(Rezultatai!$J$2:$J$500,Rezultatai!$B$2:$B$500,$K100,Rezultatai!$A$2:$A$500,((Reitingai!$C$2-1)-1),Rezultatai!$D$2:$D$500,"&lt;&gt;Papildomi (R+)")+MIN(SUMIFS(Rezultatai!$J$2:$J$500,Rezultatai!$B$2:$B$500,$K100,Rezultatai!$A$2:$A$500,((Reitingai!$C$2-1)-1),Rezultatai!$D$2:$D$500,"Papildomi (R+)"),0.15*(SUMIFS(Rezultatai!$J$2:$J$500,Rezultatai!$B$2:$B$500,$K100,Rezultatai!$A$2:$A$500,((Reitingai!$C$2-1)-1),Rezultatai!$D$2:$D$500,"&lt;&gt;Papildomi (R+)"))))*MIN(450,400+(1/70)*(SUMIFS(Parametrai!$B$2:$B$40,Parametrai!$A$2:$A$40,((Reitingai!$C$2-1)-1))-2500)),(SUMIFS(Rezultatai!$J$2:$J$500,Rezultatai!$B$2:$B$500,$K100,Rezultatai!$A$2:$A$500,(Reitingai!$C$2-1),Rezultatai!$D$2:$D$500,"&lt;&gt;Papildomi (R+)")+MIN(SUMIFS(Rezultatai!$J$2:$J$500,Rezultatai!$B$2:$B$500,$K100,Rezultatai!$A$2:$A$500,(Reitingai!$C$2-1),Rezultatai!$D$2:$D$500,"Papildomi (R+)"),0.15*(SUMIFS(Rezultatai!$J$2:$J$500,Rezultatai!$B$2:$B$500,$K100,Rezultatai!$A$2:$A$500,(Reitingai!$C$2-1),Rezultatai!$D$2:$D$500,"&lt;&gt;Papildomi (R+)"))))*MIN(550,450+(1/35)*(SUMIFS(Parametrai!$B$2:$B$40,Parametrai!$A$2:$A$40,(Reitingai!$C$2-1))-2500))))</f>
        <v/>
      </c>
      <c r="O100" s="17" t="str">
        <f t="shared" si="28"/>
        <v/>
      </c>
      <c r="P100" s="17" t="str">
        <f t="shared" si="29"/>
        <v/>
      </c>
      <c r="Q100" s="17" t="str">
        <f>IF($K100="","",$O100+COUNTIF($O$6:$O100,$O100)-1)</f>
        <v/>
      </c>
    </row>
    <row r="101" spans="1:17" ht="15" customHeight="1" x14ac:dyDescent="0.3">
      <c r="A101" s="13" t="str">
        <f>IFERROR(MATCH(96,$Q$6:$Q$105,0),"")</f>
        <v/>
      </c>
      <c r="B101" s="13" t="str">
        <f t="shared" si="20"/>
        <v/>
      </c>
      <c r="C101" s="13" t="str">
        <f t="shared" si="21"/>
        <v/>
      </c>
      <c r="D101" s="13" t="str">
        <f t="shared" si="22"/>
        <v/>
      </c>
      <c r="E101" s="16" t="str">
        <f t="shared" si="23"/>
        <v/>
      </c>
      <c r="F101" s="30" t="str">
        <f t="shared" si="24"/>
        <v/>
      </c>
      <c r="G101" s="14" t="str">
        <f t="shared" si="25"/>
        <v/>
      </c>
      <c r="H101" s="14" t="str">
        <f t="shared" si="26"/>
        <v/>
      </c>
      <c r="I101" s="31" t="str">
        <f t="shared" si="27"/>
        <v/>
      </c>
      <c r="K101" s="17" t="str">
        <f>IF(Pilotai!B97="","",Pilotai!B97)</f>
        <v/>
      </c>
      <c r="L101" s="17" t="str">
        <f>IF($K101="","",Pilotai!C97)</f>
        <v/>
      </c>
      <c r="M101" s="18" t="str">
        <f>IF($K101="","",IFERROR(INDEX(Reitingai!$G$6:$G$105,MATCH($K101,Reitingai!$B$6:$B$105,0)),0))</f>
        <v/>
      </c>
      <c r="N101" s="18" t="str">
        <f>IF($K101="","",SUM((SUMIFS(Rezultatai!$J$2:$J$500,Rezultatai!$B$2:$B$500,$K101,Rezultatai!$A$2:$A$500,((Reitingai!$C$2-1)-2),Rezultatai!$D$2:$D$500,"&lt;&gt;Papildomi (R+)")+MIN(SUMIFS(Rezultatai!$J$2:$J$500,Rezultatai!$B$2:$B$500,$K101,Rezultatai!$A$2:$A$500,((Reitingai!$C$2-1)-2),Rezultatai!$D$2:$D$500,"Papildomi (R+)"),0.15*(SUMIFS(Rezultatai!$J$2:$J$500,Rezultatai!$B$2:$B$500,$K101,Rezultatai!$A$2:$A$500,((Reitingai!$C$2-1)-2),Rezultatai!$D$2:$D$500,"&lt;&gt;Papildomi (R+)"))))*MIN(425,375+(1/70)*(SUMIFS(Parametrai!$B$2:$B$40,Parametrai!$A$2:$A$40,((Reitingai!$C$2-1)-2))-2500)),(SUMIFS(Rezultatai!$J$2:$J$500,Rezultatai!$B$2:$B$500,$K101,Rezultatai!$A$2:$A$500,((Reitingai!$C$2-1)-1),Rezultatai!$D$2:$D$500,"&lt;&gt;Papildomi (R+)")+MIN(SUMIFS(Rezultatai!$J$2:$J$500,Rezultatai!$B$2:$B$500,$K101,Rezultatai!$A$2:$A$500,((Reitingai!$C$2-1)-1),Rezultatai!$D$2:$D$500,"Papildomi (R+)"),0.15*(SUMIFS(Rezultatai!$J$2:$J$500,Rezultatai!$B$2:$B$500,$K101,Rezultatai!$A$2:$A$500,((Reitingai!$C$2-1)-1),Rezultatai!$D$2:$D$500,"&lt;&gt;Papildomi (R+)"))))*MIN(450,400+(1/70)*(SUMIFS(Parametrai!$B$2:$B$40,Parametrai!$A$2:$A$40,((Reitingai!$C$2-1)-1))-2500)),(SUMIFS(Rezultatai!$J$2:$J$500,Rezultatai!$B$2:$B$500,$K101,Rezultatai!$A$2:$A$500,(Reitingai!$C$2-1),Rezultatai!$D$2:$D$500,"&lt;&gt;Papildomi (R+)")+MIN(SUMIFS(Rezultatai!$J$2:$J$500,Rezultatai!$B$2:$B$500,$K101,Rezultatai!$A$2:$A$500,(Reitingai!$C$2-1),Rezultatai!$D$2:$D$500,"Papildomi (R+)"),0.15*(SUMIFS(Rezultatai!$J$2:$J$500,Rezultatai!$B$2:$B$500,$K101,Rezultatai!$A$2:$A$500,(Reitingai!$C$2-1),Rezultatai!$D$2:$D$500,"&lt;&gt;Papildomi (R+)"))))*MIN(550,450+(1/35)*(SUMIFS(Parametrai!$B$2:$B$40,Parametrai!$A$2:$A$40,(Reitingai!$C$2-1))-2500)))-MIN((SUMIFS(Rezultatai!$J$2:$J$500,Rezultatai!$B$2:$B$500,$K101,Rezultatai!$A$2:$A$500,((Reitingai!$C$2-1)-2),Rezultatai!$D$2:$D$500,"&lt;&gt;Papildomi (R+)")+MIN(SUMIFS(Rezultatai!$J$2:$J$500,Rezultatai!$B$2:$B$500,$K101,Rezultatai!$A$2:$A$500,((Reitingai!$C$2-1)-2),Rezultatai!$D$2:$D$500,"Papildomi (R+)"),0.15*(SUMIFS(Rezultatai!$J$2:$J$500,Rezultatai!$B$2:$B$500,$K101,Rezultatai!$A$2:$A$500,((Reitingai!$C$2-1)-2),Rezultatai!$D$2:$D$500,"&lt;&gt;Papildomi (R+)"))))*MIN(425,375+(1/70)*(SUMIFS(Parametrai!$B$2:$B$40,Parametrai!$A$2:$A$40,((Reitingai!$C$2-1)-2))-2500)),(SUMIFS(Rezultatai!$J$2:$J$500,Rezultatai!$B$2:$B$500,$K101,Rezultatai!$A$2:$A$500,((Reitingai!$C$2-1)-1),Rezultatai!$D$2:$D$500,"&lt;&gt;Papildomi (R+)")+MIN(SUMIFS(Rezultatai!$J$2:$J$500,Rezultatai!$B$2:$B$500,$K101,Rezultatai!$A$2:$A$500,((Reitingai!$C$2-1)-1),Rezultatai!$D$2:$D$500,"Papildomi (R+)"),0.15*(SUMIFS(Rezultatai!$J$2:$J$500,Rezultatai!$B$2:$B$500,$K101,Rezultatai!$A$2:$A$500,((Reitingai!$C$2-1)-1),Rezultatai!$D$2:$D$500,"&lt;&gt;Papildomi (R+)"))))*MIN(450,400+(1/70)*(SUMIFS(Parametrai!$B$2:$B$40,Parametrai!$A$2:$A$40,((Reitingai!$C$2-1)-1))-2500)),(SUMIFS(Rezultatai!$J$2:$J$500,Rezultatai!$B$2:$B$500,$K101,Rezultatai!$A$2:$A$500,(Reitingai!$C$2-1),Rezultatai!$D$2:$D$500,"&lt;&gt;Papildomi (R+)")+MIN(SUMIFS(Rezultatai!$J$2:$J$500,Rezultatai!$B$2:$B$500,$K101,Rezultatai!$A$2:$A$500,(Reitingai!$C$2-1),Rezultatai!$D$2:$D$500,"Papildomi (R+)"),0.15*(SUMIFS(Rezultatai!$J$2:$J$500,Rezultatai!$B$2:$B$500,$K101,Rezultatai!$A$2:$A$500,(Reitingai!$C$2-1),Rezultatai!$D$2:$D$500,"&lt;&gt;Papildomi (R+)"))))*MIN(550,450+(1/35)*(SUMIFS(Parametrai!$B$2:$B$40,Parametrai!$A$2:$A$40,(Reitingai!$C$2-1))-2500))))</f>
        <v/>
      </c>
      <c r="O101" s="17" t="str">
        <f t="shared" si="28"/>
        <v/>
      </c>
      <c r="P101" s="17" t="str">
        <f t="shared" si="29"/>
        <v/>
      </c>
      <c r="Q101" s="17" t="str">
        <f>IF($K101="","",$O101+COUNTIF($O$6:$O101,$O101)-1)</f>
        <v/>
      </c>
    </row>
    <row r="102" spans="1:17" ht="15" customHeight="1" x14ac:dyDescent="0.3">
      <c r="A102" s="13" t="str">
        <f>IFERROR(MATCH(97,$Q$6:$Q$105,0),"")</f>
        <v/>
      </c>
      <c r="B102" s="13" t="str">
        <f t="shared" si="20"/>
        <v/>
      </c>
      <c r="C102" s="13" t="str">
        <f t="shared" si="21"/>
        <v/>
      </c>
      <c r="D102" s="13" t="str">
        <f t="shared" si="22"/>
        <v/>
      </c>
      <c r="E102" s="16" t="str">
        <f t="shared" si="23"/>
        <v/>
      </c>
      <c r="F102" s="30" t="str">
        <f t="shared" si="24"/>
        <v/>
      </c>
      <c r="G102" s="14" t="str">
        <f t="shared" si="25"/>
        <v/>
      </c>
      <c r="H102" s="14" t="str">
        <f t="shared" si="26"/>
        <v/>
      </c>
      <c r="I102" s="31" t="str">
        <f t="shared" si="27"/>
        <v/>
      </c>
      <c r="K102" s="17" t="str">
        <f>IF(Pilotai!B98="","",Pilotai!B98)</f>
        <v/>
      </c>
      <c r="L102" s="17" t="str">
        <f>IF($K102="","",Pilotai!C98)</f>
        <v/>
      </c>
      <c r="M102" s="18" t="str">
        <f>IF($K102="","",IFERROR(INDEX(Reitingai!$G$6:$G$105,MATCH($K102,Reitingai!$B$6:$B$105,0)),0))</f>
        <v/>
      </c>
      <c r="N102" s="18" t="str">
        <f>IF($K102="","",SUM((SUMIFS(Rezultatai!$J$2:$J$500,Rezultatai!$B$2:$B$500,$K102,Rezultatai!$A$2:$A$500,((Reitingai!$C$2-1)-2),Rezultatai!$D$2:$D$500,"&lt;&gt;Papildomi (R+)")+MIN(SUMIFS(Rezultatai!$J$2:$J$500,Rezultatai!$B$2:$B$500,$K102,Rezultatai!$A$2:$A$500,((Reitingai!$C$2-1)-2),Rezultatai!$D$2:$D$500,"Papildomi (R+)"),0.15*(SUMIFS(Rezultatai!$J$2:$J$500,Rezultatai!$B$2:$B$500,$K102,Rezultatai!$A$2:$A$500,((Reitingai!$C$2-1)-2),Rezultatai!$D$2:$D$500,"&lt;&gt;Papildomi (R+)"))))*MIN(425,375+(1/70)*(SUMIFS(Parametrai!$B$2:$B$40,Parametrai!$A$2:$A$40,((Reitingai!$C$2-1)-2))-2500)),(SUMIFS(Rezultatai!$J$2:$J$500,Rezultatai!$B$2:$B$500,$K102,Rezultatai!$A$2:$A$500,((Reitingai!$C$2-1)-1),Rezultatai!$D$2:$D$500,"&lt;&gt;Papildomi (R+)")+MIN(SUMIFS(Rezultatai!$J$2:$J$500,Rezultatai!$B$2:$B$500,$K102,Rezultatai!$A$2:$A$500,((Reitingai!$C$2-1)-1),Rezultatai!$D$2:$D$500,"Papildomi (R+)"),0.15*(SUMIFS(Rezultatai!$J$2:$J$500,Rezultatai!$B$2:$B$500,$K102,Rezultatai!$A$2:$A$500,((Reitingai!$C$2-1)-1),Rezultatai!$D$2:$D$500,"&lt;&gt;Papildomi (R+)"))))*MIN(450,400+(1/70)*(SUMIFS(Parametrai!$B$2:$B$40,Parametrai!$A$2:$A$40,((Reitingai!$C$2-1)-1))-2500)),(SUMIFS(Rezultatai!$J$2:$J$500,Rezultatai!$B$2:$B$500,$K102,Rezultatai!$A$2:$A$500,(Reitingai!$C$2-1),Rezultatai!$D$2:$D$500,"&lt;&gt;Papildomi (R+)")+MIN(SUMIFS(Rezultatai!$J$2:$J$500,Rezultatai!$B$2:$B$500,$K102,Rezultatai!$A$2:$A$500,(Reitingai!$C$2-1),Rezultatai!$D$2:$D$500,"Papildomi (R+)"),0.15*(SUMIFS(Rezultatai!$J$2:$J$500,Rezultatai!$B$2:$B$500,$K102,Rezultatai!$A$2:$A$500,(Reitingai!$C$2-1),Rezultatai!$D$2:$D$500,"&lt;&gt;Papildomi (R+)"))))*MIN(550,450+(1/35)*(SUMIFS(Parametrai!$B$2:$B$40,Parametrai!$A$2:$A$40,(Reitingai!$C$2-1))-2500)))-MIN((SUMIFS(Rezultatai!$J$2:$J$500,Rezultatai!$B$2:$B$500,$K102,Rezultatai!$A$2:$A$500,((Reitingai!$C$2-1)-2),Rezultatai!$D$2:$D$500,"&lt;&gt;Papildomi (R+)")+MIN(SUMIFS(Rezultatai!$J$2:$J$500,Rezultatai!$B$2:$B$500,$K102,Rezultatai!$A$2:$A$500,((Reitingai!$C$2-1)-2),Rezultatai!$D$2:$D$500,"Papildomi (R+)"),0.15*(SUMIFS(Rezultatai!$J$2:$J$500,Rezultatai!$B$2:$B$500,$K102,Rezultatai!$A$2:$A$500,((Reitingai!$C$2-1)-2),Rezultatai!$D$2:$D$500,"&lt;&gt;Papildomi (R+)"))))*MIN(425,375+(1/70)*(SUMIFS(Parametrai!$B$2:$B$40,Parametrai!$A$2:$A$40,((Reitingai!$C$2-1)-2))-2500)),(SUMIFS(Rezultatai!$J$2:$J$500,Rezultatai!$B$2:$B$500,$K102,Rezultatai!$A$2:$A$500,((Reitingai!$C$2-1)-1),Rezultatai!$D$2:$D$500,"&lt;&gt;Papildomi (R+)")+MIN(SUMIFS(Rezultatai!$J$2:$J$500,Rezultatai!$B$2:$B$500,$K102,Rezultatai!$A$2:$A$500,((Reitingai!$C$2-1)-1),Rezultatai!$D$2:$D$500,"Papildomi (R+)"),0.15*(SUMIFS(Rezultatai!$J$2:$J$500,Rezultatai!$B$2:$B$500,$K102,Rezultatai!$A$2:$A$500,((Reitingai!$C$2-1)-1),Rezultatai!$D$2:$D$500,"&lt;&gt;Papildomi (R+)"))))*MIN(450,400+(1/70)*(SUMIFS(Parametrai!$B$2:$B$40,Parametrai!$A$2:$A$40,((Reitingai!$C$2-1)-1))-2500)),(SUMIFS(Rezultatai!$J$2:$J$500,Rezultatai!$B$2:$B$500,$K102,Rezultatai!$A$2:$A$500,(Reitingai!$C$2-1),Rezultatai!$D$2:$D$500,"&lt;&gt;Papildomi (R+)")+MIN(SUMIFS(Rezultatai!$J$2:$J$500,Rezultatai!$B$2:$B$500,$K102,Rezultatai!$A$2:$A$500,(Reitingai!$C$2-1),Rezultatai!$D$2:$D$500,"Papildomi (R+)"),0.15*(SUMIFS(Rezultatai!$J$2:$J$500,Rezultatai!$B$2:$B$500,$K102,Rezultatai!$A$2:$A$500,(Reitingai!$C$2-1),Rezultatai!$D$2:$D$500,"&lt;&gt;Papildomi (R+)"))))*MIN(550,450+(1/35)*(SUMIFS(Parametrai!$B$2:$B$40,Parametrai!$A$2:$A$40,(Reitingai!$C$2-1))-2500))))</f>
        <v/>
      </c>
      <c r="O102" s="17" t="str">
        <f t="shared" si="28"/>
        <v/>
      </c>
      <c r="P102" s="17" t="str">
        <f t="shared" si="29"/>
        <v/>
      </c>
      <c r="Q102" s="17" t="str">
        <f>IF($K102="","",$O102+COUNTIF($O$6:$O102,$O102)-1)</f>
        <v/>
      </c>
    </row>
    <row r="103" spans="1:17" ht="15" customHeight="1" x14ac:dyDescent="0.3">
      <c r="A103" s="13" t="str">
        <f>IFERROR(MATCH(98,$Q$6:$Q$105,0),"")</f>
        <v/>
      </c>
      <c r="B103" s="13" t="str">
        <f t="shared" si="20"/>
        <v/>
      </c>
      <c r="C103" s="13" t="str">
        <f t="shared" si="21"/>
        <v/>
      </c>
      <c r="D103" s="13" t="str">
        <f t="shared" si="22"/>
        <v/>
      </c>
      <c r="E103" s="16" t="str">
        <f t="shared" si="23"/>
        <v/>
      </c>
      <c r="F103" s="30" t="str">
        <f t="shared" si="24"/>
        <v/>
      </c>
      <c r="G103" s="14" t="str">
        <f t="shared" si="25"/>
        <v/>
      </c>
      <c r="H103" s="14" t="str">
        <f t="shared" si="26"/>
        <v/>
      </c>
      <c r="I103" s="31" t="str">
        <f t="shared" si="27"/>
        <v/>
      </c>
      <c r="K103" s="17" t="str">
        <f>IF(Pilotai!B99="","",Pilotai!B99)</f>
        <v/>
      </c>
      <c r="L103" s="17" t="str">
        <f>IF($K103="","",Pilotai!C99)</f>
        <v/>
      </c>
      <c r="M103" s="18" t="str">
        <f>IF($K103="","",IFERROR(INDEX(Reitingai!$G$6:$G$105,MATCH($K103,Reitingai!$B$6:$B$105,0)),0))</f>
        <v/>
      </c>
      <c r="N103" s="18" t="str">
        <f>IF($K103="","",SUM((SUMIFS(Rezultatai!$J$2:$J$500,Rezultatai!$B$2:$B$500,$K103,Rezultatai!$A$2:$A$500,((Reitingai!$C$2-1)-2),Rezultatai!$D$2:$D$500,"&lt;&gt;Papildomi (R+)")+MIN(SUMIFS(Rezultatai!$J$2:$J$500,Rezultatai!$B$2:$B$500,$K103,Rezultatai!$A$2:$A$500,((Reitingai!$C$2-1)-2),Rezultatai!$D$2:$D$500,"Papildomi (R+)"),0.15*(SUMIFS(Rezultatai!$J$2:$J$500,Rezultatai!$B$2:$B$500,$K103,Rezultatai!$A$2:$A$500,((Reitingai!$C$2-1)-2),Rezultatai!$D$2:$D$500,"&lt;&gt;Papildomi (R+)"))))*MIN(425,375+(1/70)*(SUMIFS(Parametrai!$B$2:$B$40,Parametrai!$A$2:$A$40,((Reitingai!$C$2-1)-2))-2500)),(SUMIFS(Rezultatai!$J$2:$J$500,Rezultatai!$B$2:$B$500,$K103,Rezultatai!$A$2:$A$500,((Reitingai!$C$2-1)-1),Rezultatai!$D$2:$D$500,"&lt;&gt;Papildomi (R+)")+MIN(SUMIFS(Rezultatai!$J$2:$J$500,Rezultatai!$B$2:$B$500,$K103,Rezultatai!$A$2:$A$500,((Reitingai!$C$2-1)-1),Rezultatai!$D$2:$D$500,"Papildomi (R+)"),0.15*(SUMIFS(Rezultatai!$J$2:$J$500,Rezultatai!$B$2:$B$500,$K103,Rezultatai!$A$2:$A$500,((Reitingai!$C$2-1)-1),Rezultatai!$D$2:$D$500,"&lt;&gt;Papildomi (R+)"))))*MIN(450,400+(1/70)*(SUMIFS(Parametrai!$B$2:$B$40,Parametrai!$A$2:$A$40,((Reitingai!$C$2-1)-1))-2500)),(SUMIFS(Rezultatai!$J$2:$J$500,Rezultatai!$B$2:$B$500,$K103,Rezultatai!$A$2:$A$500,(Reitingai!$C$2-1),Rezultatai!$D$2:$D$500,"&lt;&gt;Papildomi (R+)")+MIN(SUMIFS(Rezultatai!$J$2:$J$500,Rezultatai!$B$2:$B$500,$K103,Rezultatai!$A$2:$A$500,(Reitingai!$C$2-1),Rezultatai!$D$2:$D$500,"Papildomi (R+)"),0.15*(SUMIFS(Rezultatai!$J$2:$J$500,Rezultatai!$B$2:$B$500,$K103,Rezultatai!$A$2:$A$500,(Reitingai!$C$2-1),Rezultatai!$D$2:$D$500,"&lt;&gt;Papildomi (R+)"))))*MIN(550,450+(1/35)*(SUMIFS(Parametrai!$B$2:$B$40,Parametrai!$A$2:$A$40,(Reitingai!$C$2-1))-2500)))-MIN((SUMIFS(Rezultatai!$J$2:$J$500,Rezultatai!$B$2:$B$500,$K103,Rezultatai!$A$2:$A$500,((Reitingai!$C$2-1)-2),Rezultatai!$D$2:$D$500,"&lt;&gt;Papildomi (R+)")+MIN(SUMIFS(Rezultatai!$J$2:$J$500,Rezultatai!$B$2:$B$500,$K103,Rezultatai!$A$2:$A$500,((Reitingai!$C$2-1)-2),Rezultatai!$D$2:$D$500,"Papildomi (R+)"),0.15*(SUMIFS(Rezultatai!$J$2:$J$500,Rezultatai!$B$2:$B$500,$K103,Rezultatai!$A$2:$A$500,((Reitingai!$C$2-1)-2),Rezultatai!$D$2:$D$500,"&lt;&gt;Papildomi (R+)"))))*MIN(425,375+(1/70)*(SUMIFS(Parametrai!$B$2:$B$40,Parametrai!$A$2:$A$40,((Reitingai!$C$2-1)-2))-2500)),(SUMIFS(Rezultatai!$J$2:$J$500,Rezultatai!$B$2:$B$500,$K103,Rezultatai!$A$2:$A$500,((Reitingai!$C$2-1)-1),Rezultatai!$D$2:$D$500,"&lt;&gt;Papildomi (R+)")+MIN(SUMIFS(Rezultatai!$J$2:$J$500,Rezultatai!$B$2:$B$500,$K103,Rezultatai!$A$2:$A$500,((Reitingai!$C$2-1)-1),Rezultatai!$D$2:$D$500,"Papildomi (R+)"),0.15*(SUMIFS(Rezultatai!$J$2:$J$500,Rezultatai!$B$2:$B$500,$K103,Rezultatai!$A$2:$A$500,((Reitingai!$C$2-1)-1),Rezultatai!$D$2:$D$500,"&lt;&gt;Papildomi (R+)"))))*MIN(450,400+(1/70)*(SUMIFS(Parametrai!$B$2:$B$40,Parametrai!$A$2:$A$40,((Reitingai!$C$2-1)-1))-2500)),(SUMIFS(Rezultatai!$J$2:$J$500,Rezultatai!$B$2:$B$500,$K103,Rezultatai!$A$2:$A$500,(Reitingai!$C$2-1),Rezultatai!$D$2:$D$500,"&lt;&gt;Papildomi (R+)")+MIN(SUMIFS(Rezultatai!$J$2:$J$500,Rezultatai!$B$2:$B$500,$K103,Rezultatai!$A$2:$A$500,(Reitingai!$C$2-1),Rezultatai!$D$2:$D$500,"Papildomi (R+)"),0.15*(SUMIFS(Rezultatai!$J$2:$J$500,Rezultatai!$B$2:$B$500,$K103,Rezultatai!$A$2:$A$500,(Reitingai!$C$2-1),Rezultatai!$D$2:$D$500,"&lt;&gt;Papildomi (R+)"))))*MIN(550,450+(1/35)*(SUMIFS(Parametrai!$B$2:$B$40,Parametrai!$A$2:$A$40,(Reitingai!$C$2-1))-2500))))</f>
        <v/>
      </c>
      <c r="O103" s="17" t="str">
        <f t="shared" si="28"/>
        <v/>
      </c>
      <c r="P103" s="17" t="str">
        <f t="shared" si="29"/>
        <v/>
      </c>
      <c r="Q103" s="17" t="str">
        <f>IF($K103="","",$O103+COUNTIF($O$6:$O103,$O103)-1)</f>
        <v/>
      </c>
    </row>
    <row r="104" spans="1:17" ht="15" customHeight="1" x14ac:dyDescent="0.3">
      <c r="A104" s="13" t="str">
        <f>IFERROR(MATCH(99,$Q$6:$Q$105,0),"")</f>
        <v/>
      </c>
      <c r="B104" s="13" t="str">
        <f t="shared" si="20"/>
        <v/>
      </c>
      <c r="C104" s="13" t="str">
        <f t="shared" si="21"/>
        <v/>
      </c>
      <c r="D104" s="13" t="str">
        <f t="shared" si="22"/>
        <v/>
      </c>
      <c r="E104" s="16" t="str">
        <f t="shared" si="23"/>
        <v/>
      </c>
      <c r="F104" s="30" t="str">
        <f t="shared" si="24"/>
        <v/>
      </c>
      <c r="G104" s="14" t="str">
        <f t="shared" si="25"/>
        <v/>
      </c>
      <c r="H104" s="14" t="str">
        <f t="shared" si="26"/>
        <v/>
      </c>
      <c r="I104" s="31" t="str">
        <f t="shared" si="27"/>
        <v/>
      </c>
      <c r="K104" s="17" t="str">
        <f>IF(Pilotai!B100="","",Pilotai!B100)</f>
        <v/>
      </c>
      <c r="L104" s="17" t="str">
        <f>IF($K104="","",Pilotai!C100)</f>
        <v/>
      </c>
      <c r="M104" s="18" t="str">
        <f>IF($K104="","",IFERROR(INDEX(Reitingai!$G$6:$G$105,MATCH($K104,Reitingai!$B$6:$B$105,0)),0))</f>
        <v/>
      </c>
      <c r="N104" s="18" t="str">
        <f>IF($K104="","",SUM((SUMIFS(Rezultatai!$J$2:$J$500,Rezultatai!$B$2:$B$500,$K104,Rezultatai!$A$2:$A$500,((Reitingai!$C$2-1)-2),Rezultatai!$D$2:$D$500,"&lt;&gt;Papildomi (R+)")+MIN(SUMIFS(Rezultatai!$J$2:$J$500,Rezultatai!$B$2:$B$500,$K104,Rezultatai!$A$2:$A$500,((Reitingai!$C$2-1)-2),Rezultatai!$D$2:$D$500,"Papildomi (R+)"),0.15*(SUMIFS(Rezultatai!$J$2:$J$500,Rezultatai!$B$2:$B$500,$K104,Rezultatai!$A$2:$A$500,((Reitingai!$C$2-1)-2),Rezultatai!$D$2:$D$500,"&lt;&gt;Papildomi (R+)"))))*MIN(425,375+(1/70)*(SUMIFS(Parametrai!$B$2:$B$40,Parametrai!$A$2:$A$40,((Reitingai!$C$2-1)-2))-2500)),(SUMIFS(Rezultatai!$J$2:$J$500,Rezultatai!$B$2:$B$500,$K104,Rezultatai!$A$2:$A$500,((Reitingai!$C$2-1)-1),Rezultatai!$D$2:$D$500,"&lt;&gt;Papildomi (R+)")+MIN(SUMIFS(Rezultatai!$J$2:$J$500,Rezultatai!$B$2:$B$500,$K104,Rezultatai!$A$2:$A$500,((Reitingai!$C$2-1)-1),Rezultatai!$D$2:$D$500,"Papildomi (R+)"),0.15*(SUMIFS(Rezultatai!$J$2:$J$500,Rezultatai!$B$2:$B$500,$K104,Rezultatai!$A$2:$A$500,((Reitingai!$C$2-1)-1),Rezultatai!$D$2:$D$500,"&lt;&gt;Papildomi (R+)"))))*MIN(450,400+(1/70)*(SUMIFS(Parametrai!$B$2:$B$40,Parametrai!$A$2:$A$40,((Reitingai!$C$2-1)-1))-2500)),(SUMIFS(Rezultatai!$J$2:$J$500,Rezultatai!$B$2:$B$500,$K104,Rezultatai!$A$2:$A$500,(Reitingai!$C$2-1),Rezultatai!$D$2:$D$500,"&lt;&gt;Papildomi (R+)")+MIN(SUMIFS(Rezultatai!$J$2:$J$500,Rezultatai!$B$2:$B$500,$K104,Rezultatai!$A$2:$A$500,(Reitingai!$C$2-1),Rezultatai!$D$2:$D$500,"Papildomi (R+)"),0.15*(SUMIFS(Rezultatai!$J$2:$J$500,Rezultatai!$B$2:$B$500,$K104,Rezultatai!$A$2:$A$500,(Reitingai!$C$2-1),Rezultatai!$D$2:$D$500,"&lt;&gt;Papildomi (R+)"))))*MIN(550,450+(1/35)*(SUMIFS(Parametrai!$B$2:$B$40,Parametrai!$A$2:$A$40,(Reitingai!$C$2-1))-2500)))-MIN((SUMIFS(Rezultatai!$J$2:$J$500,Rezultatai!$B$2:$B$500,$K104,Rezultatai!$A$2:$A$500,((Reitingai!$C$2-1)-2),Rezultatai!$D$2:$D$500,"&lt;&gt;Papildomi (R+)")+MIN(SUMIFS(Rezultatai!$J$2:$J$500,Rezultatai!$B$2:$B$500,$K104,Rezultatai!$A$2:$A$500,((Reitingai!$C$2-1)-2),Rezultatai!$D$2:$D$500,"Papildomi (R+)"),0.15*(SUMIFS(Rezultatai!$J$2:$J$500,Rezultatai!$B$2:$B$500,$K104,Rezultatai!$A$2:$A$500,((Reitingai!$C$2-1)-2),Rezultatai!$D$2:$D$500,"&lt;&gt;Papildomi (R+)"))))*MIN(425,375+(1/70)*(SUMIFS(Parametrai!$B$2:$B$40,Parametrai!$A$2:$A$40,((Reitingai!$C$2-1)-2))-2500)),(SUMIFS(Rezultatai!$J$2:$J$500,Rezultatai!$B$2:$B$500,$K104,Rezultatai!$A$2:$A$500,((Reitingai!$C$2-1)-1),Rezultatai!$D$2:$D$500,"&lt;&gt;Papildomi (R+)")+MIN(SUMIFS(Rezultatai!$J$2:$J$500,Rezultatai!$B$2:$B$500,$K104,Rezultatai!$A$2:$A$500,((Reitingai!$C$2-1)-1),Rezultatai!$D$2:$D$500,"Papildomi (R+)"),0.15*(SUMIFS(Rezultatai!$J$2:$J$500,Rezultatai!$B$2:$B$500,$K104,Rezultatai!$A$2:$A$500,((Reitingai!$C$2-1)-1),Rezultatai!$D$2:$D$500,"&lt;&gt;Papildomi (R+)"))))*MIN(450,400+(1/70)*(SUMIFS(Parametrai!$B$2:$B$40,Parametrai!$A$2:$A$40,((Reitingai!$C$2-1)-1))-2500)),(SUMIFS(Rezultatai!$J$2:$J$500,Rezultatai!$B$2:$B$500,$K104,Rezultatai!$A$2:$A$500,(Reitingai!$C$2-1),Rezultatai!$D$2:$D$500,"&lt;&gt;Papildomi (R+)")+MIN(SUMIFS(Rezultatai!$J$2:$J$500,Rezultatai!$B$2:$B$500,$K104,Rezultatai!$A$2:$A$500,(Reitingai!$C$2-1),Rezultatai!$D$2:$D$500,"Papildomi (R+)"),0.15*(SUMIFS(Rezultatai!$J$2:$J$500,Rezultatai!$B$2:$B$500,$K104,Rezultatai!$A$2:$A$500,(Reitingai!$C$2-1),Rezultatai!$D$2:$D$500,"&lt;&gt;Papildomi (R+)"))))*MIN(550,450+(1/35)*(SUMIFS(Parametrai!$B$2:$B$40,Parametrai!$A$2:$A$40,(Reitingai!$C$2-1))-2500))))</f>
        <v/>
      </c>
      <c r="O104" s="17" t="str">
        <f t="shared" si="28"/>
        <v/>
      </c>
      <c r="P104" s="17" t="str">
        <f t="shared" si="29"/>
        <v/>
      </c>
      <c r="Q104" s="17" t="str">
        <f>IF($K104="","",$O104+COUNTIF($O$6:$O104,$O104)-1)</f>
        <v/>
      </c>
    </row>
    <row r="105" spans="1:17" ht="15" customHeight="1" x14ac:dyDescent="0.3">
      <c r="A105" s="13" t="str">
        <f>IFERROR(MATCH(100,$Q$6:$Q$105,0),"")</f>
        <v/>
      </c>
      <c r="B105" s="13" t="str">
        <f t="shared" si="20"/>
        <v/>
      </c>
      <c r="C105" s="13" t="str">
        <f t="shared" si="21"/>
        <v/>
      </c>
      <c r="D105" s="13" t="str">
        <f t="shared" si="22"/>
        <v/>
      </c>
      <c r="E105" s="16" t="str">
        <f t="shared" si="23"/>
        <v/>
      </c>
      <c r="F105" s="30" t="str">
        <f t="shared" si="24"/>
        <v/>
      </c>
      <c r="G105" s="14" t="str">
        <f t="shared" si="25"/>
        <v/>
      </c>
      <c r="H105" s="14" t="str">
        <f t="shared" si="26"/>
        <v/>
      </c>
      <c r="I105" s="31" t="str">
        <f t="shared" si="27"/>
        <v/>
      </c>
      <c r="K105" s="17" t="str">
        <f>IF(Pilotai!B101="","",Pilotai!B101)</f>
        <v/>
      </c>
      <c r="L105" s="17" t="str">
        <f>IF($K105="","",Pilotai!C101)</f>
        <v/>
      </c>
      <c r="M105" s="18" t="str">
        <f>IF($K105="","",IFERROR(INDEX(Reitingai!$G$6:$G$105,MATCH($K105,Reitingai!$B$6:$B$105,0)),0))</f>
        <v/>
      </c>
      <c r="N105" s="18" t="str">
        <f>IF($K105="","",SUM((SUMIFS(Rezultatai!$J$2:$J$500,Rezultatai!$B$2:$B$500,$K105,Rezultatai!$A$2:$A$500,((Reitingai!$C$2-1)-2),Rezultatai!$D$2:$D$500,"&lt;&gt;Papildomi (R+)")+MIN(SUMIFS(Rezultatai!$J$2:$J$500,Rezultatai!$B$2:$B$500,$K105,Rezultatai!$A$2:$A$500,((Reitingai!$C$2-1)-2),Rezultatai!$D$2:$D$500,"Papildomi (R+)"),0.15*(SUMIFS(Rezultatai!$J$2:$J$500,Rezultatai!$B$2:$B$500,$K105,Rezultatai!$A$2:$A$500,((Reitingai!$C$2-1)-2),Rezultatai!$D$2:$D$500,"&lt;&gt;Papildomi (R+)"))))*MIN(425,375+(1/70)*(SUMIFS(Parametrai!$B$2:$B$40,Parametrai!$A$2:$A$40,((Reitingai!$C$2-1)-2))-2500)),(SUMIFS(Rezultatai!$J$2:$J$500,Rezultatai!$B$2:$B$500,$K105,Rezultatai!$A$2:$A$500,((Reitingai!$C$2-1)-1),Rezultatai!$D$2:$D$500,"&lt;&gt;Papildomi (R+)")+MIN(SUMIFS(Rezultatai!$J$2:$J$500,Rezultatai!$B$2:$B$500,$K105,Rezultatai!$A$2:$A$500,((Reitingai!$C$2-1)-1),Rezultatai!$D$2:$D$500,"Papildomi (R+)"),0.15*(SUMIFS(Rezultatai!$J$2:$J$500,Rezultatai!$B$2:$B$500,$K105,Rezultatai!$A$2:$A$500,((Reitingai!$C$2-1)-1),Rezultatai!$D$2:$D$500,"&lt;&gt;Papildomi (R+)"))))*MIN(450,400+(1/70)*(SUMIFS(Parametrai!$B$2:$B$40,Parametrai!$A$2:$A$40,((Reitingai!$C$2-1)-1))-2500)),(SUMIFS(Rezultatai!$J$2:$J$500,Rezultatai!$B$2:$B$500,$K105,Rezultatai!$A$2:$A$500,(Reitingai!$C$2-1),Rezultatai!$D$2:$D$500,"&lt;&gt;Papildomi (R+)")+MIN(SUMIFS(Rezultatai!$J$2:$J$500,Rezultatai!$B$2:$B$500,$K105,Rezultatai!$A$2:$A$500,(Reitingai!$C$2-1),Rezultatai!$D$2:$D$500,"Papildomi (R+)"),0.15*(SUMIFS(Rezultatai!$J$2:$J$500,Rezultatai!$B$2:$B$500,$K105,Rezultatai!$A$2:$A$500,(Reitingai!$C$2-1),Rezultatai!$D$2:$D$500,"&lt;&gt;Papildomi (R+)"))))*MIN(550,450+(1/35)*(SUMIFS(Parametrai!$B$2:$B$40,Parametrai!$A$2:$A$40,(Reitingai!$C$2-1))-2500)))-MIN((SUMIFS(Rezultatai!$J$2:$J$500,Rezultatai!$B$2:$B$500,$K105,Rezultatai!$A$2:$A$500,((Reitingai!$C$2-1)-2),Rezultatai!$D$2:$D$500,"&lt;&gt;Papildomi (R+)")+MIN(SUMIFS(Rezultatai!$J$2:$J$500,Rezultatai!$B$2:$B$500,$K105,Rezultatai!$A$2:$A$500,((Reitingai!$C$2-1)-2),Rezultatai!$D$2:$D$500,"Papildomi (R+)"),0.15*(SUMIFS(Rezultatai!$J$2:$J$500,Rezultatai!$B$2:$B$500,$K105,Rezultatai!$A$2:$A$500,((Reitingai!$C$2-1)-2),Rezultatai!$D$2:$D$500,"&lt;&gt;Papildomi (R+)"))))*MIN(425,375+(1/70)*(SUMIFS(Parametrai!$B$2:$B$40,Parametrai!$A$2:$A$40,((Reitingai!$C$2-1)-2))-2500)),(SUMIFS(Rezultatai!$J$2:$J$500,Rezultatai!$B$2:$B$500,$K105,Rezultatai!$A$2:$A$500,((Reitingai!$C$2-1)-1),Rezultatai!$D$2:$D$500,"&lt;&gt;Papildomi (R+)")+MIN(SUMIFS(Rezultatai!$J$2:$J$500,Rezultatai!$B$2:$B$500,$K105,Rezultatai!$A$2:$A$500,((Reitingai!$C$2-1)-1),Rezultatai!$D$2:$D$500,"Papildomi (R+)"),0.15*(SUMIFS(Rezultatai!$J$2:$J$500,Rezultatai!$B$2:$B$500,$K105,Rezultatai!$A$2:$A$500,((Reitingai!$C$2-1)-1),Rezultatai!$D$2:$D$500,"&lt;&gt;Papildomi (R+)"))))*MIN(450,400+(1/70)*(SUMIFS(Parametrai!$B$2:$B$40,Parametrai!$A$2:$A$40,((Reitingai!$C$2-1)-1))-2500)),(SUMIFS(Rezultatai!$J$2:$J$500,Rezultatai!$B$2:$B$500,$K105,Rezultatai!$A$2:$A$500,(Reitingai!$C$2-1),Rezultatai!$D$2:$D$500,"&lt;&gt;Papildomi (R+)")+MIN(SUMIFS(Rezultatai!$J$2:$J$500,Rezultatai!$B$2:$B$500,$K105,Rezultatai!$A$2:$A$500,(Reitingai!$C$2-1),Rezultatai!$D$2:$D$500,"Papildomi (R+)"),0.15*(SUMIFS(Rezultatai!$J$2:$J$500,Rezultatai!$B$2:$B$500,$K105,Rezultatai!$A$2:$A$500,(Reitingai!$C$2-1),Rezultatai!$D$2:$D$500,"&lt;&gt;Papildomi (R+)"))))*MIN(550,450+(1/35)*(SUMIFS(Parametrai!$B$2:$B$40,Parametrai!$A$2:$A$40,(Reitingai!$C$2-1))-2500))))</f>
        <v/>
      </c>
      <c r="O105" s="17" t="str">
        <f t="shared" si="28"/>
        <v/>
      </c>
      <c r="P105" s="17" t="str">
        <f t="shared" si="29"/>
        <v/>
      </c>
      <c r="Q105" s="17" t="str">
        <f>IF($K105="","",$O105+COUNTIF($O$6:$O105,$O105)-1)</f>
        <v/>
      </c>
    </row>
  </sheetData>
  <autoFilter ref="A5:I5" xr:uid="{00000000-0009-0000-0000-000005000000}">
    <sortState xmlns:xlrd2="http://schemas.microsoft.com/office/spreadsheetml/2017/richdata2" ref="A6:I105">
      <sortCondition ref="D5"/>
    </sortState>
  </autoFilter>
  <mergeCells count="2">
    <mergeCell ref="A1:I1"/>
    <mergeCell ref="A2:I2"/>
  </mergeCells>
  <conditionalFormatting sqref="I6:I105">
    <cfRule type="cellIs" dxfId="3" priority="2" operator="lessThan">
      <formula>0</formula>
    </cfRule>
    <cfRule type="cellIs" dxfId="2" priority="3" operator="greaterThan">
      <formula>0</formula>
    </cfRule>
  </conditionalFormatting>
  <conditionalFormatting sqref="F6:F105">
    <cfRule type="cellIs" dxfId="1" priority="4" operator="lessThan">
      <formula>0</formula>
    </cfRule>
    <cfRule type="cellIs" dxfId="0" priority="5" operator="greaterThan">
      <formula>0</formula>
    </cfRule>
  </conditionalFormatting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808080"/>
  </sheetPr>
  <dimension ref="A1:D241"/>
  <sheetViews>
    <sheetView showGridLines="0" zoomScaleNormal="100" workbookViewId="0">
      <pane ySplit="4" topLeftCell="A5" activePane="bottomLeft" state="frozen"/>
      <selection pane="bottomLeft"/>
    </sheetView>
  </sheetViews>
  <sheetFormatPr defaultColWidth="8.6640625" defaultRowHeight="14.4" x14ac:dyDescent="0.3"/>
  <cols>
    <col min="1" max="1" width="8" customWidth="1"/>
    <col min="2" max="2" width="26" customWidth="1"/>
    <col min="3" max="3" width="22" customWidth="1"/>
    <col min="4" max="4" width="20" customWidth="1"/>
  </cols>
  <sheetData>
    <row r="1" spans="1:4" ht="17.25" customHeight="1" x14ac:dyDescent="0.3">
      <c r="A1" s="35" t="s">
        <v>157</v>
      </c>
      <c r="B1" s="35"/>
      <c r="C1" s="35"/>
      <c r="D1" s="35"/>
    </row>
    <row r="2" spans="1:4" ht="15" customHeight="1" x14ac:dyDescent="0.3">
      <c r="A2" s="34" t="s">
        <v>158</v>
      </c>
      <c r="B2" s="34"/>
      <c r="C2" s="34"/>
      <c r="D2" s="34"/>
    </row>
    <row r="4" spans="1:4" ht="15" customHeight="1" x14ac:dyDescent="0.3">
      <c r="A4" s="12" t="s">
        <v>40</v>
      </c>
      <c r="B4" s="12" t="s">
        <v>33</v>
      </c>
      <c r="C4" s="12" t="s">
        <v>34</v>
      </c>
      <c r="D4" s="12" t="s">
        <v>159</v>
      </c>
    </row>
    <row r="5" spans="1:4" ht="15" customHeight="1" x14ac:dyDescent="0.3">
      <c r="A5" s="13">
        <v>2016</v>
      </c>
      <c r="B5" s="13" t="s">
        <v>58</v>
      </c>
      <c r="C5" s="13" t="s">
        <v>59</v>
      </c>
      <c r="D5" s="14">
        <v>894.57</v>
      </c>
    </row>
    <row r="6" spans="1:4" ht="15" customHeight="1" x14ac:dyDescent="0.3">
      <c r="A6" s="13">
        <v>2016</v>
      </c>
      <c r="B6" s="13" t="s">
        <v>48</v>
      </c>
      <c r="C6" s="13" t="s">
        <v>49</v>
      </c>
      <c r="D6" s="14">
        <v>835.93</v>
      </c>
    </row>
    <row r="7" spans="1:4" ht="15" customHeight="1" x14ac:dyDescent="0.3">
      <c r="A7" s="13">
        <v>2016</v>
      </c>
      <c r="B7" s="13" t="s">
        <v>83</v>
      </c>
      <c r="C7" s="13" t="s">
        <v>56</v>
      </c>
      <c r="D7" s="14">
        <v>829.43</v>
      </c>
    </row>
    <row r="8" spans="1:4" ht="15" customHeight="1" x14ac:dyDescent="0.3">
      <c r="A8" s="13">
        <v>2016</v>
      </c>
      <c r="B8" s="13" t="s">
        <v>52</v>
      </c>
      <c r="C8" s="13" t="s">
        <v>53</v>
      </c>
      <c r="D8" s="14">
        <v>827.28</v>
      </c>
    </row>
    <row r="9" spans="1:4" ht="15" customHeight="1" x14ac:dyDescent="0.3">
      <c r="A9" s="13">
        <v>2016</v>
      </c>
      <c r="B9" s="13" t="s">
        <v>64</v>
      </c>
      <c r="C9" s="13" t="s">
        <v>49</v>
      </c>
      <c r="D9" s="14">
        <v>805.7</v>
      </c>
    </row>
    <row r="10" spans="1:4" ht="15" customHeight="1" x14ac:dyDescent="0.3">
      <c r="A10" s="13">
        <v>2016</v>
      </c>
      <c r="B10" s="13" t="s">
        <v>80</v>
      </c>
      <c r="C10" s="13" t="s">
        <v>53</v>
      </c>
      <c r="D10" s="14">
        <v>800.69</v>
      </c>
    </row>
    <row r="11" spans="1:4" ht="15" customHeight="1" x14ac:dyDescent="0.3">
      <c r="A11" s="13">
        <v>2016</v>
      </c>
      <c r="B11" s="13" t="s">
        <v>73</v>
      </c>
      <c r="C11" s="13" t="s">
        <v>53</v>
      </c>
      <c r="D11" s="14">
        <v>766.93</v>
      </c>
    </row>
    <row r="12" spans="1:4" ht="15" customHeight="1" x14ac:dyDescent="0.3">
      <c r="A12" s="13">
        <v>2016</v>
      </c>
      <c r="B12" s="13" t="s">
        <v>60</v>
      </c>
      <c r="C12" s="13" t="s">
        <v>61</v>
      </c>
      <c r="D12" s="14">
        <v>758.29</v>
      </c>
    </row>
    <row r="13" spans="1:4" ht="15" customHeight="1" x14ac:dyDescent="0.3">
      <c r="A13" s="13">
        <v>2016</v>
      </c>
      <c r="B13" s="13" t="s">
        <v>66</v>
      </c>
      <c r="C13" s="13" t="s">
        <v>53</v>
      </c>
      <c r="D13" s="14">
        <v>712.8</v>
      </c>
    </row>
    <row r="14" spans="1:4" ht="15" customHeight="1" x14ac:dyDescent="0.3">
      <c r="A14" s="13">
        <v>2016</v>
      </c>
      <c r="B14" s="13" t="s">
        <v>90</v>
      </c>
      <c r="C14" s="13" t="s">
        <v>49</v>
      </c>
      <c r="D14" s="14">
        <v>696</v>
      </c>
    </row>
    <row r="15" spans="1:4" ht="15" customHeight="1" x14ac:dyDescent="0.3">
      <c r="A15" s="13">
        <v>2016</v>
      </c>
      <c r="B15" s="13" t="s">
        <v>71</v>
      </c>
      <c r="C15" s="13" t="s">
        <v>53</v>
      </c>
      <c r="D15" s="14">
        <v>640.63</v>
      </c>
    </row>
    <row r="16" spans="1:4" ht="15" customHeight="1" x14ac:dyDescent="0.3">
      <c r="A16" s="13">
        <v>2016</v>
      </c>
      <c r="B16" s="13" t="s">
        <v>74</v>
      </c>
      <c r="C16" s="13" t="s">
        <v>53</v>
      </c>
      <c r="D16" s="14">
        <v>592.44000000000005</v>
      </c>
    </row>
    <row r="17" spans="1:4" ht="15" customHeight="1" x14ac:dyDescent="0.3">
      <c r="A17" s="13">
        <v>2016</v>
      </c>
      <c r="B17" s="13" t="s">
        <v>70</v>
      </c>
      <c r="C17" s="13" t="s">
        <v>53</v>
      </c>
      <c r="D17" s="14">
        <v>579.96</v>
      </c>
    </row>
    <row r="18" spans="1:4" ht="15" customHeight="1" x14ac:dyDescent="0.3">
      <c r="A18" s="13">
        <v>2016</v>
      </c>
      <c r="B18" s="13" t="s">
        <v>108</v>
      </c>
      <c r="C18" s="13" t="s">
        <v>53</v>
      </c>
      <c r="D18" s="14">
        <v>552.69000000000005</v>
      </c>
    </row>
    <row r="19" spans="1:4" ht="15" customHeight="1" x14ac:dyDescent="0.3">
      <c r="A19" s="13">
        <v>2016</v>
      </c>
      <c r="B19" s="13" t="s">
        <v>93</v>
      </c>
      <c r="C19" s="13" t="s">
        <v>49</v>
      </c>
      <c r="D19" s="14">
        <v>539.09</v>
      </c>
    </row>
    <row r="20" spans="1:4" ht="15" customHeight="1" x14ac:dyDescent="0.3">
      <c r="A20" s="13">
        <v>2016</v>
      </c>
      <c r="B20" s="13" t="s">
        <v>62</v>
      </c>
      <c r="C20" s="13" t="s">
        <v>56</v>
      </c>
      <c r="D20" s="14">
        <v>447.42</v>
      </c>
    </row>
    <row r="21" spans="1:4" ht="15" customHeight="1" x14ac:dyDescent="0.3">
      <c r="A21" s="13">
        <v>2016</v>
      </c>
      <c r="B21" s="13" t="s">
        <v>65</v>
      </c>
      <c r="C21" s="13" t="s">
        <v>53</v>
      </c>
      <c r="D21" s="14">
        <v>425.78</v>
      </c>
    </row>
    <row r="22" spans="1:4" ht="15" customHeight="1" x14ac:dyDescent="0.3">
      <c r="A22" s="13">
        <v>2016</v>
      </c>
      <c r="B22" s="13" t="s">
        <v>63</v>
      </c>
      <c r="C22" s="13" t="s">
        <v>53</v>
      </c>
      <c r="D22" s="14">
        <v>357.35</v>
      </c>
    </row>
    <row r="23" spans="1:4" ht="15" customHeight="1" x14ac:dyDescent="0.3">
      <c r="A23" s="13">
        <v>2016</v>
      </c>
      <c r="B23" s="13" t="s">
        <v>91</v>
      </c>
      <c r="C23" s="13" t="s">
        <v>92</v>
      </c>
      <c r="D23" s="14">
        <v>335.54</v>
      </c>
    </row>
    <row r="24" spans="1:4" ht="15" customHeight="1" x14ac:dyDescent="0.3">
      <c r="A24" s="13">
        <v>2016</v>
      </c>
      <c r="B24" s="13" t="s">
        <v>134</v>
      </c>
      <c r="C24" s="13" t="s">
        <v>53</v>
      </c>
      <c r="D24" s="14">
        <v>277.67</v>
      </c>
    </row>
    <row r="25" spans="1:4" ht="15" customHeight="1" x14ac:dyDescent="0.3">
      <c r="A25" s="13">
        <v>2016</v>
      </c>
      <c r="B25" s="13" t="s">
        <v>150</v>
      </c>
      <c r="C25" s="13" t="s">
        <v>49</v>
      </c>
      <c r="D25" s="14">
        <v>273.76</v>
      </c>
    </row>
    <row r="26" spans="1:4" ht="15" customHeight="1" x14ac:dyDescent="0.3">
      <c r="A26" s="13">
        <v>2016</v>
      </c>
      <c r="B26" s="13" t="s">
        <v>107</v>
      </c>
      <c r="C26" s="13" t="s">
        <v>53</v>
      </c>
      <c r="D26" s="14">
        <v>267.52</v>
      </c>
    </row>
    <row r="27" spans="1:4" ht="15" customHeight="1" x14ac:dyDescent="0.3">
      <c r="A27" s="13">
        <v>2016</v>
      </c>
      <c r="B27" s="13" t="s">
        <v>160</v>
      </c>
      <c r="C27" s="13" t="s">
        <v>49</v>
      </c>
      <c r="D27" s="14">
        <v>259.86</v>
      </c>
    </row>
    <row r="28" spans="1:4" ht="15" customHeight="1" x14ac:dyDescent="0.3">
      <c r="A28" s="13">
        <v>2016</v>
      </c>
      <c r="B28" s="13" t="s">
        <v>67</v>
      </c>
      <c r="C28" s="13" t="s">
        <v>53</v>
      </c>
      <c r="D28" s="14">
        <v>242.26</v>
      </c>
    </row>
    <row r="29" spans="1:4" ht="15" customHeight="1" x14ac:dyDescent="0.3">
      <c r="A29" s="13">
        <v>2016</v>
      </c>
      <c r="B29" s="13" t="s">
        <v>141</v>
      </c>
      <c r="C29" s="13" t="s">
        <v>53</v>
      </c>
      <c r="D29" s="14">
        <v>221.87</v>
      </c>
    </row>
    <row r="30" spans="1:4" ht="15" customHeight="1" x14ac:dyDescent="0.3">
      <c r="A30" s="13">
        <v>2016</v>
      </c>
      <c r="B30" s="13" t="s">
        <v>145</v>
      </c>
      <c r="C30" s="13" t="s">
        <v>53</v>
      </c>
      <c r="D30" s="14">
        <v>215.3</v>
      </c>
    </row>
    <row r="31" spans="1:4" ht="15" customHeight="1" x14ac:dyDescent="0.3">
      <c r="A31" s="13">
        <v>2016</v>
      </c>
      <c r="B31" s="13" t="s">
        <v>101</v>
      </c>
      <c r="C31" s="13" t="s">
        <v>49</v>
      </c>
      <c r="D31" s="14">
        <v>192.51</v>
      </c>
    </row>
    <row r="32" spans="1:4" ht="15" customHeight="1" x14ac:dyDescent="0.3">
      <c r="A32" s="13">
        <v>2016</v>
      </c>
      <c r="B32" s="13" t="s">
        <v>76</v>
      </c>
      <c r="C32" s="13" t="s">
        <v>61</v>
      </c>
      <c r="D32" s="14">
        <v>183.09</v>
      </c>
    </row>
    <row r="33" spans="1:4" ht="15" customHeight="1" x14ac:dyDescent="0.3">
      <c r="A33" s="13">
        <v>2016</v>
      </c>
      <c r="B33" s="13" t="s">
        <v>129</v>
      </c>
      <c r="C33" s="13" t="s">
        <v>49</v>
      </c>
      <c r="D33" s="14">
        <v>177.41</v>
      </c>
    </row>
    <row r="34" spans="1:4" ht="15" customHeight="1" x14ac:dyDescent="0.3">
      <c r="A34" s="13">
        <v>2016</v>
      </c>
      <c r="B34" s="13" t="s">
        <v>130</v>
      </c>
      <c r="C34" s="13" t="s">
        <v>49</v>
      </c>
      <c r="D34" s="14">
        <v>161.6</v>
      </c>
    </row>
    <row r="35" spans="1:4" ht="15" customHeight="1" x14ac:dyDescent="0.3">
      <c r="A35" s="13">
        <v>2016</v>
      </c>
      <c r="B35" s="13" t="s">
        <v>143</v>
      </c>
      <c r="C35" s="13" t="s">
        <v>49</v>
      </c>
      <c r="D35" s="14">
        <v>157.22</v>
      </c>
    </row>
    <row r="36" spans="1:4" ht="15" customHeight="1" x14ac:dyDescent="0.3">
      <c r="A36" s="13">
        <v>2016</v>
      </c>
      <c r="B36" s="13" t="s">
        <v>82</v>
      </c>
      <c r="C36" s="13" t="s">
        <v>53</v>
      </c>
      <c r="D36" s="14">
        <v>144.85</v>
      </c>
    </row>
    <row r="37" spans="1:4" ht="15" customHeight="1" x14ac:dyDescent="0.3">
      <c r="A37" s="13">
        <v>2016</v>
      </c>
      <c r="B37" s="13" t="s">
        <v>139</v>
      </c>
      <c r="C37" s="13" t="s">
        <v>69</v>
      </c>
      <c r="D37" s="14">
        <v>142.08000000000001</v>
      </c>
    </row>
    <row r="38" spans="1:4" ht="15" customHeight="1" x14ac:dyDescent="0.3">
      <c r="A38" s="13">
        <v>2016</v>
      </c>
      <c r="B38" s="13" t="s">
        <v>133</v>
      </c>
      <c r="C38" s="13" t="s">
        <v>53</v>
      </c>
      <c r="D38" s="14">
        <v>112.89</v>
      </c>
    </row>
    <row r="39" spans="1:4" ht="15" customHeight="1" x14ac:dyDescent="0.3">
      <c r="A39" s="13">
        <v>2016</v>
      </c>
      <c r="B39" s="13" t="s">
        <v>161</v>
      </c>
      <c r="C39" s="13" t="s">
        <v>49</v>
      </c>
      <c r="D39" s="14">
        <v>112.22</v>
      </c>
    </row>
    <row r="40" spans="1:4" ht="15" customHeight="1" x14ac:dyDescent="0.3">
      <c r="A40" s="13">
        <v>2016</v>
      </c>
      <c r="B40" s="13" t="s">
        <v>131</v>
      </c>
      <c r="C40" s="13" t="s">
        <v>49</v>
      </c>
      <c r="D40" s="14">
        <v>104.46</v>
      </c>
    </row>
    <row r="41" spans="1:4" ht="15" customHeight="1" x14ac:dyDescent="0.3">
      <c r="A41" s="13">
        <v>2016</v>
      </c>
      <c r="B41" s="13" t="s">
        <v>57</v>
      </c>
      <c r="C41" s="13" t="s">
        <v>53</v>
      </c>
      <c r="D41" s="14">
        <v>51.06</v>
      </c>
    </row>
    <row r="42" spans="1:4" ht="15" customHeight="1" x14ac:dyDescent="0.3">
      <c r="A42" s="13">
        <v>2016</v>
      </c>
      <c r="B42" s="13" t="s">
        <v>162</v>
      </c>
      <c r="C42" s="13" t="s">
        <v>53</v>
      </c>
      <c r="D42" s="14">
        <v>0</v>
      </c>
    </row>
    <row r="43" spans="1:4" ht="15" customHeight="1" x14ac:dyDescent="0.3">
      <c r="A43" s="13">
        <v>2016</v>
      </c>
      <c r="B43" s="13" t="s">
        <v>103</v>
      </c>
      <c r="C43" s="13" t="s">
        <v>49</v>
      </c>
      <c r="D43" s="14">
        <v>0</v>
      </c>
    </row>
    <row r="44" spans="1:4" ht="15" customHeight="1" x14ac:dyDescent="0.3">
      <c r="A44" s="13">
        <v>2016</v>
      </c>
      <c r="B44" s="13" t="s">
        <v>113</v>
      </c>
      <c r="C44" s="13" t="s">
        <v>53</v>
      </c>
      <c r="D44" s="14">
        <v>0</v>
      </c>
    </row>
    <row r="45" spans="1:4" ht="15" customHeight="1" x14ac:dyDescent="0.3">
      <c r="A45" s="13">
        <v>2016</v>
      </c>
      <c r="B45" s="13" t="s">
        <v>79</v>
      </c>
      <c r="C45" s="13" t="s">
        <v>49</v>
      </c>
      <c r="D45" s="14">
        <v>0</v>
      </c>
    </row>
    <row r="46" spans="1:4" ht="15" customHeight="1" x14ac:dyDescent="0.3">
      <c r="A46" s="13">
        <v>2016</v>
      </c>
      <c r="B46" s="13" t="s">
        <v>89</v>
      </c>
      <c r="C46" s="13" t="s">
        <v>53</v>
      </c>
      <c r="D46" s="14">
        <v>0</v>
      </c>
    </row>
    <row r="47" spans="1:4" ht="15" customHeight="1" x14ac:dyDescent="0.3">
      <c r="A47" s="13">
        <v>2016</v>
      </c>
      <c r="B47" s="13" t="s">
        <v>95</v>
      </c>
      <c r="C47" s="13" t="s">
        <v>96</v>
      </c>
      <c r="D47" s="14">
        <v>0</v>
      </c>
    </row>
    <row r="48" spans="1:4" ht="15" customHeight="1" x14ac:dyDescent="0.3">
      <c r="A48" s="13">
        <v>2016</v>
      </c>
      <c r="B48" s="13" t="s">
        <v>105</v>
      </c>
      <c r="C48" s="13" t="s">
        <v>106</v>
      </c>
      <c r="D48" s="14">
        <v>0</v>
      </c>
    </row>
    <row r="49" spans="1:4" ht="15" customHeight="1" x14ac:dyDescent="0.3">
      <c r="A49" s="13">
        <v>2016</v>
      </c>
      <c r="B49" s="13" t="s">
        <v>97</v>
      </c>
      <c r="C49" s="13" t="s">
        <v>98</v>
      </c>
      <c r="D49" s="14">
        <v>0</v>
      </c>
    </row>
    <row r="50" spans="1:4" ht="15" customHeight="1" x14ac:dyDescent="0.3">
      <c r="A50" s="13">
        <v>2016</v>
      </c>
      <c r="B50" s="13" t="s">
        <v>68</v>
      </c>
      <c r="C50" s="13" t="s">
        <v>69</v>
      </c>
      <c r="D50" s="14">
        <v>0</v>
      </c>
    </row>
    <row r="51" spans="1:4" ht="15" customHeight="1" x14ac:dyDescent="0.3">
      <c r="A51" s="13">
        <v>2016</v>
      </c>
      <c r="B51" s="13" t="s">
        <v>84</v>
      </c>
      <c r="C51" s="13" t="s">
        <v>69</v>
      </c>
      <c r="D51" s="14">
        <v>0</v>
      </c>
    </row>
    <row r="52" spans="1:4" ht="15" customHeight="1" x14ac:dyDescent="0.3">
      <c r="A52" s="13">
        <v>2016</v>
      </c>
      <c r="B52" s="13" t="s">
        <v>94</v>
      </c>
      <c r="C52" s="13" t="s">
        <v>53</v>
      </c>
      <c r="D52" s="14">
        <v>0</v>
      </c>
    </row>
    <row r="53" spans="1:4" ht="15" customHeight="1" x14ac:dyDescent="0.3">
      <c r="A53" s="13">
        <v>2016</v>
      </c>
      <c r="B53" s="13" t="s">
        <v>88</v>
      </c>
      <c r="C53" s="13" t="s">
        <v>49</v>
      </c>
      <c r="D53" s="14">
        <v>0</v>
      </c>
    </row>
    <row r="54" spans="1:4" ht="15" customHeight="1" x14ac:dyDescent="0.3">
      <c r="A54" s="13">
        <v>2016</v>
      </c>
      <c r="B54" s="13" t="s">
        <v>87</v>
      </c>
      <c r="C54" s="13" t="s">
        <v>53</v>
      </c>
      <c r="D54" s="14">
        <v>0</v>
      </c>
    </row>
    <row r="55" spans="1:4" ht="15" customHeight="1" x14ac:dyDescent="0.3">
      <c r="A55" s="13">
        <v>2016</v>
      </c>
      <c r="B55" s="13" t="s">
        <v>85</v>
      </c>
      <c r="C55" s="13" t="s">
        <v>53</v>
      </c>
      <c r="D55" s="14">
        <v>0</v>
      </c>
    </row>
    <row r="56" spans="1:4" ht="15" customHeight="1" x14ac:dyDescent="0.3">
      <c r="A56" s="13">
        <v>2016</v>
      </c>
      <c r="B56" s="13" t="s">
        <v>77</v>
      </c>
      <c r="C56" s="13" t="s">
        <v>49</v>
      </c>
      <c r="D56" s="14">
        <v>0</v>
      </c>
    </row>
    <row r="57" spans="1:4" ht="15" customHeight="1" x14ac:dyDescent="0.3">
      <c r="A57" s="13">
        <v>2016</v>
      </c>
      <c r="B57" s="13" t="s">
        <v>132</v>
      </c>
      <c r="C57" s="13" t="s">
        <v>49</v>
      </c>
      <c r="D57" s="14">
        <v>0</v>
      </c>
    </row>
    <row r="58" spans="1:4" ht="15" customHeight="1" x14ac:dyDescent="0.3">
      <c r="A58" s="13">
        <v>2016</v>
      </c>
      <c r="B58" s="13" t="s">
        <v>135</v>
      </c>
      <c r="C58" s="13" t="s">
        <v>53</v>
      </c>
      <c r="D58" s="14">
        <v>0</v>
      </c>
    </row>
    <row r="59" spans="1:4" ht="15" customHeight="1" x14ac:dyDescent="0.3">
      <c r="A59" s="13">
        <v>2016</v>
      </c>
      <c r="B59" s="13" t="s">
        <v>136</v>
      </c>
      <c r="C59" s="13" t="s">
        <v>53</v>
      </c>
      <c r="D59" s="14">
        <v>0</v>
      </c>
    </row>
    <row r="60" spans="1:4" ht="15" customHeight="1" x14ac:dyDescent="0.3">
      <c r="A60" s="13">
        <v>2016</v>
      </c>
      <c r="B60" s="13" t="s">
        <v>137</v>
      </c>
      <c r="C60" s="13" t="s">
        <v>69</v>
      </c>
      <c r="D60" s="14">
        <v>0</v>
      </c>
    </row>
    <row r="61" spans="1:4" ht="15" customHeight="1" x14ac:dyDescent="0.3">
      <c r="A61" s="13">
        <v>2016</v>
      </c>
      <c r="B61" s="13" t="s">
        <v>138</v>
      </c>
      <c r="C61" s="13" t="s">
        <v>49</v>
      </c>
      <c r="D61" s="14">
        <v>0</v>
      </c>
    </row>
    <row r="62" spans="1:4" ht="15" customHeight="1" x14ac:dyDescent="0.3">
      <c r="A62" s="13">
        <v>2016</v>
      </c>
      <c r="B62" s="13" t="s">
        <v>140</v>
      </c>
      <c r="C62" s="13" t="s">
        <v>59</v>
      </c>
      <c r="D62" s="14">
        <v>0</v>
      </c>
    </row>
    <row r="63" spans="1:4" ht="15" customHeight="1" x14ac:dyDescent="0.3">
      <c r="A63" s="13">
        <v>2016</v>
      </c>
      <c r="B63" s="13" t="s">
        <v>142</v>
      </c>
      <c r="C63" s="13" t="s">
        <v>53</v>
      </c>
      <c r="D63" s="14">
        <v>0</v>
      </c>
    </row>
    <row r="64" spans="1:4" ht="15" customHeight="1" x14ac:dyDescent="0.3">
      <c r="A64" s="13">
        <v>2016</v>
      </c>
      <c r="B64" s="13" t="s">
        <v>144</v>
      </c>
      <c r="C64" s="13" t="s">
        <v>59</v>
      </c>
      <c r="D64" s="14">
        <v>0</v>
      </c>
    </row>
    <row r="65" spans="1:4" ht="15" customHeight="1" x14ac:dyDescent="0.3">
      <c r="A65" s="13">
        <v>2016</v>
      </c>
      <c r="B65" s="13" t="s">
        <v>146</v>
      </c>
      <c r="C65" s="13" t="s">
        <v>53</v>
      </c>
      <c r="D65" s="14">
        <v>0</v>
      </c>
    </row>
    <row r="66" spans="1:4" ht="15" customHeight="1" x14ac:dyDescent="0.3">
      <c r="A66" s="13">
        <v>2016</v>
      </c>
      <c r="B66" s="13" t="s">
        <v>147</v>
      </c>
      <c r="C66" s="13" t="s">
        <v>92</v>
      </c>
      <c r="D66" s="14">
        <v>0</v>
      </c>
    </row>
    <row r="67" spans="1:4" ht="15" customHeight="1" x14ac:dyDescent="0.3">
      <c r="A67" s="13">
        <v>2016</v>
      </c>
      <c r="B67" s="13" t="s">
        <v>148</v>
      </c>
      <c r="C67" s="13" t="s">
        <v>53</v>
      </c>
      <c r="D67" s="14">
        <v>0</v>
      </c>
    </row>
    <row r="68" spans="1:4" ht="15" customHeight="1" x14ac:dyDescent="0.3">
      <c r="A68" s="13">
        <v>2016</v>
      </c>
      <c r="B68" s="13" t="s">
        <v>149</v>
      </c>
      <c r="C68" s="13" t="s">
        <v>53</v>
      </c>
      <c r="D68" s="14">
        <v>0</v>
      </c>
    </row>
    <row r="69" spans="1:4" ht="15" customHeight="1" x14ac:dyDescent="0.3">
      <c r="A69" s="13">
        <v>2017</v>
      </c>
      <c r="B69" s="13" t="s">
        <v>58</v>
      </c>
      <c r="C69" s="13" t="s">
        <v>59</v>
      </c>
      <c r="D69" s="14">
        <v>887.48</v>
      </c>
    </row>
    <row r="70" spans="1:4" ht="15" customHeight="1" x14ac:dyDescent="0.3">
      <c r="A70" s="13">
        <v>2017</v>
      </c>
      <c r="B70" s="13" t="s">
        <v>48</v>
      </c>
      <c r="C70" s="13" t="s">
        <v>49</v>
      </c>
      <c r="D70" s="14">
        <v>839.97</v>
      </c>
    </row>
    <row r="71" spans="1:4" ht="15" customHeight="1" x14ac:dyDescent="0.3">
      <c r="A71" s="13">
        <v>2017</v>
      </c>
      <c r="B71" s="13" t="s">
        <v>64</v>
      </c>
      <c r="C71" s="13" t="s">
        <v>49</v>
      </c>
      <c r="D71" s="14">
        <v>824.52</v>
      </c>
    </row>
    <row r="72" spans="1:4" ht="15" customHeight="1" x14ac:dyDescent="0.3">
      <c r="A72" s="13">
        <v>2017</v>
      </c>
      <c r="B72" s="13" t="s">
        <v>75</v>
      </c>
      <c r="C72" s="13" t="s">
        <v>56</v>
      </c>
      <c r="D72" s="14">
        <v>816.35</v>
      </c>
    </row>
    <row r="73" spans="1:4" ht="15" customHeight="1" x14ac:dyDescent="0.3">
      <c r="A73" s="13">
        <v>2017</v>
      </c>
      <c r="B73" s="13" t="s">
        <v>66</v>
      </c>
      <c r="C73" s="13" t="s">
        <v>53</v>
      </c>
      <c r="D73" s="14">
        <v>814.37</v>
      </c>
    </row>
    <row r="74" spans="1:4" ht="15" customHeight="1" x14ac:dyDescent="0.3">
      <c r="A74" s="13">
        <v>2017</v>
      </c>
      <c r="B74" s="13" t="s">
        <v>60</v>
      </c>
      <c r="C74" s="13" t="s">
        <v>61</v>
      </c>
      <c r="D74" s="14">
        <v>804.59</v>
      </c>
    </row>
    <row r="75" spans="1:4" ht="15" customHeight="1" x14ac:dyDescent="0.3">
      <c r="A75" s="13">
        <v>2017</v>
      </c>
      <c r="B75" s="13" t="s">
        <v>73</v>
      </c>
      <c r="C75" s="13" t="s">
        <v>53</v>
      </c>
      <c r="D75" s="14">
        <v>783.89</v>
      </c>
    </row>
    <row r="76" spans="1:4" ht="15" customHeight="1" x14ac:dyDescent="0.3">
      <c r="A76" s="13">
        <v>2017</v>
      </c>
      <c r="B76" s="13" t="s">
        <v>52</v>
      </c>
      <c r="C76" s="13" t="s">
        <v>53</v>
      </c>
      <c r="D76" s="14">
        <v>713.44</v>
      </c>
    </row>
    <row r="77" spans="1:4" ht="15" customHeight="1" x14ac:dyDescent="0.3">
      <c r="A77" s="13">
        <v>2017</v>
      </c>
      <c r="B77" s="13" t="s">
        <v>67</v>
      </c>
      <c r="C77" s="13" t="s">
        <v>53</v>
      </c>
      <c r="D77" s="14">
        <v>703.74</v>
      </c>
    </row>
    <row r="78" spans="1:4" ht="15" customHeight="1" x14ac:dyDescent="0.3">
      <c r="A78" s="13">
        <v>2017</v>
      </c>
      <c r="B78" s="13" t="s">
        <v>65</v>
      </c>
      <c r="C78" s="13" t="s">
        <v>53</v>
      </c>
      <c r="D78" s="14">
        <v>693.54</v>
      </c>
    </row>
    <row r="79" spans="1:4" ht="15" customHeight="1" x14ac:dyDescent="0.3">
      <c r="A79" s="13">
        <v>2017</v>
      </c>
      <c r="B79" s="13" t="s">
        <v>71</v>
      </c>
      <c r="C79" s="13" t="s">
        <v>53</v>
      </c>
      <c r="D79" s="14">
        <v>662.64</v>
      </c>
    </row>
    <row r="80" spans="1:4" ht="15" customHeight="1" x14ac:dyDescent="0.3">
      <c r="A80" s="13">
        <v>2017</v>
      </c>
      <c r="B80" s="13" t="s">
        <v>74</v>
      </c>
      <c r="C80" s="13" t="s">
        <v>53</v>
      </c>
      <c r="D80" s="14">
        <v>619.66999999999996</v>
      </c>
    </row>
    <row r="81" spans="1:4" ht="15" customHeight="1" x14ac:dyDescent="0.3">
      <c r="A81" s="13">
        <v>2017</v>
      </c>
      <c r="B81" s="13" t="s">
        <v>62</v>
      </c>
      <c r="C81" s="13" t="s">
        <v>56</v>
      </c>
      <c r="D81" s="14">
        <v>555.51</v>
      </c>
    </row>
    <row r="82" spans="1:4" ht="15" customHeight="1" x14ac:dyDescent="0.3">
      <c r="A82" s="13">
        <v>2017</v>
      </c>
      <c r="B82" s="13" t="s">
        <v>63</v>
      </c>
      <c r="C82" s="13" t="s">
        <v>53</v>
      </c>
      <c r="D82" s="14">
        <v>542.53</v>
      </c>
    </row>
    <row r="83" spans="1:4" ht="15" customHeight="1" x14ac:dyDescent="0.3">
      <c r="A83" s="13">
        <v>2017</v>
      </c>
      <c r="B83" s="13" t="s">
        <v>70</v>
      </c>
      <c r="C83" s="13" t="s">
        <v>53</v>
      </c>
      <c r="D83" s="14">
        <v>502.74</v>
      </c>
    </row>
    <row r="84" spans="1:4" ht="15" customHeight="1" x14ac:dyDescent="0.3">
      <c r="A84" s="13">
        <v>2017</v>
      </c>
      <c r="B84" s="13" t="s">
        <v>160</v>
      </c>
      <c r="C84" s="13" t="s">
        <v>49</v>
      </c>
      <c r="D84" s="14">
        <v>423.54</v>
      </c>
    </row>
    <row r="85" spans="1:4" ht="15" customHeight="1" x14ac:dyDescent="0.3">
      <c r="A85" s="13">
        <v>2017</v>
      </c>
      <c r="B85" s="13" t="s">
        <v>57</v>
      </c>
      <c r="C85" s="13" t="s">
        <v>53</v>
      </c>
      <c r="D85" s="14">
        <v>405.54</v>
      </c>
    </row>
    <row r="86" spans="1:4" ht="15" customHeight="1" x14ac:dyDescent="0.3">
      <c r="A86" s="13">
        <v>2017</v>
      </c>
      <c r="B86" s="13" t="s">
        <v>68</v>
      </c>
      <c r="C86" s="13" t="s">
        <v>69</v>
      </c>
      <c r="D86" s="14">
        <v>0</v>
      </c>
    </row>
    <row r="87" spans="1:4" ht="15" customHeight="1" x14ac:dyDescent="0.3">
      <c r="A87" s="13">
        <v>2018</v>
      </c>
      <c r="B87" s="13" t="s">
        <v>58</v>
      </c>
      <c r="C87" s="13" t="s">
        <v>59</v>
      </c>
      <c r="D87" s="14">
        <v>908.64</v>
      </c>
    </row>
    <row r="88" spans="1:4" ht="15" customHeight="1" x14ac:dyDescent="0.3">
      <c r="A88" s="13">
        <v>2018</v>
      </c>
      <c r="B88" s="13" t="s">
        <v>48</v>
      </c>
      <c r="C88" s="13" t="s">
        <v>49</v>
      </c>
      <c r="D88" s="14">
        <v>842.78</v>
      </c>
    </row>
    <row r="89" spans="1:4" ht="15" customHeight="1" x14ac:dyDescent="0.3">
      <c r="A89" s="13">
        <v>2018</v>
      </c>
      <c r="B89" s="13" t="s">
        <v>60</v>
      </c>
      <c r="C89" s="13" t="s">
        <v>61</v>
      </c>
      <c r="D89" s="14">
        <v>825.42</v>
      </c>
    </row>
    <row r="90" spans="1:4" ht="15" customHeight="1" x14ac:dyDescent="0.3">
      <c r="A90" s="13">
        <v>2018</v>
      </c>
      <c r="B90" s="13" t="s">
        <v>75</v>
      </c>
      <c r="C90" s="13" t="s">
        <v>56</v>
      </c>
      <c r="D90" s="14">
        <v>814.07</v>
      </c>
    </row>
    <row r="91" spans="1:4" ht="15" customHeight="1" x14ac:dyDescent="0.3">
      <c r="A91" s="13">
        <v>2018</v>
      </c>
      <c r="B91" s="13" t="s">
        <v>57</v>
      </c>
      <c r="C91" s="13" t="s">
        <v>53</v>
      </c>
      <c r="D91" s="14">
        <v>786.73</v>
      </c>
    </row>
    <row r="92" spans="1:4" ht="15" customHeight="1" x14ac:dyDescent="0.3">
      <c r="A92" s="13">
        <v>2018</v>
      </c>
      <c r="B92" s="13" t="s">
        <v>55</v>
      </c>
      <c r="C92" s="13" t="s">
        <v>56</v>
      </c>
      <c r="D92" s="14">
        <v>770.57</v>
      </c>
    </row>
    <row r="93" spans="1:4" ht="15" customHeight="1" x14ac:dyDescent="0.3">
      <c r="A93" s="13">
        <v>2018</v>
      </c>
      <c r="B93" s="13" t="s">
        <v>73</v>
      </c>
      <c r="C93" s="13" t="s">
        <v>53</v>
      </c>
      <c r="D93" s="14">
        <v>750.18</v>
      </c>
    </row>
    <row r="94" spans="1:4" ht="15" customHeight="1" x14ac:dyDescent="0.3">
      <c r="A94" s="13">
        <v>2018</v>
      </c>
      <c r="B94" s="13" t="s">
        <v>67</v>
      </c>
      <c r="C94" s="13" t="s">
        <v>53</v>
      </c>
      <c r="D94" s="14">
        <v>731.26</v>
      </c>
    </row>
    <row r="95" spans="1:4" ht="15" customHeight="1" x14ac:dyDescent="0.3">
      <c r="A95" s="13">
        <v>2018</v>
      </c>
      <c r="B95" s="13" t="s">
        <v>65</v>
      </c>
      <c r="C95" s="13" t="s">
        <v>53</v>
      </c>
      <c r="D95" s="14">
        <v>729.53</v>
      </c>
    </row>
    <row r="96" spans="1:4" ht="15" customHeight="1" x14ac:dyDescent="0.3">
      <c r="A96" s="13">
        <v>2018</v>
      </c>
      <c r="B96" s="13" t="s">
        <v>62</v>
      </c>
      <c r="C96" s="13" t="s">
        <v>56</v>
      </c>
      <c r="D96" s="14">
        <v>691.76</v>
      </c>
    </row>
    <row r="97" spans="1:4" ht="15" customHeight="1" x14ac:dyDescent="0.3">
      <c r="A97" s="13">
        <v>2018</v>
      </c>
      <c r="B97" s="13" t="s">
        <v>80</v>
      </c>
      <c r="C97" s="13" t="s">
        <v>53</v>
      </c>
      <c r="D97" s="14">
        <v>669.35</v>
      </c>
    </row>
    <row r="98" spans="1:4" ht="15" customHeight="1" x14ac:dyDescent="0.3">
      <c r="A98" s="13">
        <v>2018</v>
      </c>
      <c r="B98" s="13" t="s">
        <v>74</v>
      </c>
      <c r="C98" s="13" t="s">
        <v>53</v>
      </c>
      <c r="D98" s="14">
        <v>645.39</v>
      </c>
    </row>
    <row r="99" spans="1:4" ht="15" customHeight="1" x14ac:dyDescent="0.3">
      <c r="A99" s="13">
        <v>2018</v>
      </c>
      <c r="B99" s="13" t="s">
        <v>71</v>
      </c>
      <c r="C99" s="13" t="s">
        <v>53</v>
      </c>
      <c r="D99" s="14">
        <v>580.49</v>
      </c>
    </row>
    <row r="100" spans="1:4" ht="15" customHeight="1" x14ac:dyDescent="0.3">
      <c r="A100" s="13">
        <v>2018</v>
      </c>
      <c r="B100" s="13" t="s">
        <v>70</v>
      </c>
      <c r="C100" s="13" t="s">
        <v>53</v>
      </c>
      <c r="D100" s="14">
        <v>541.54</v>
      </c>
    </row>
    <row r="101" spans="1:4" ht="15" customHeight="1" x14ac:dyDescent="0.3">
      <c r="A101" s="13">
        <v>2018</v>
      </c>
      <c r="B101" s="13" t="s">
        <v>68</v>
      </c>
      <c r="C101" s="13" t="s">
        <v>69</v>
      </c>
      <c r="D101" s="14">
        <v>378.08</v>
      </c>
    </row>
    <row r="102" spans="1:4" ht="15" customHeight="1" x14ac:dyDescent="0.3">
      <c r="A102" s="13">
        <v>2018</v>
      </c>
      <c r="B102" s="13" t="s">
        <v>162</v>
      </c>
      <c r="C102" s="13" t="s">
        <v>53</v>
      </c>
      <c r="D102" s="14">
        <v>0</v>
      </c>
    </row>
    <row r="103" spans="1:4" ht="15" customHeight="1" x14ac:dyDescent="0.3">
      <c r="A103" s="13">
        <v>2018</v>
      </c>
      <c r="B103" s="13" t="s">
        <v>79</v>
      </c>
      <c r="C103" s="13" t="s">
        <v>49</v>
      </c>
      <c r="D103" s="14">
        <v>0</v>
      </c>
    </row>
    <row r="104" spans="1:4" ht="15" customHeight="1" x14ac:dyDescent="0.3">
      <c r="A104" s="13">
        <v>2018</v>
      </c>
      <c r="B104" s="13" t="s">
        <v>76</v>
      </c>
      <c r="C104" s="13" t="s">
        <v>61</v>
      </c>
      <c r="D104" s="14">
        <v>0</v>
      </c>
    </row>
    <row r="105" spans="1:4" ht="15" customHeight="1" x14ac:dyDescent="0.3">
      <c r="A105" s="13">
        <v>2018</v>
      </c>
      <c r="B105" s="13" t="s">
        <v>77</v>
      </c>
      <c r="C105" s="13" t="s">
        <v>49</v>
      </c>
      <c r="D105" s="14">
        <v>0</v>
      </c>
    </row>
    <row r="106" spans="1:4" ht="15" customHeight="1" x14ac:dyDescent="0.3">
      <c r="A106" s="13">
        <v>2019</v>
      </c>
      <c r="B106" s="13" t="s">
        <v>58</v>
      </c>
      <c r="C106" s="13" t="s">
        <v>59</v>
      </c>
      <c r="D106" s="14">
        <v>916.15</v>
      </c>
    </row>
    <row r="107" spans="1:4" ht="15" customHeight="1" x14ac:dyDescent="0.3">
      <c r="A107" s="13">
        <v>2019</v>
      </c>
      <c r="B107" s="13" t="s">
        <v>57</v>
      </c>
      <c r="C107" s="13" t="s">
        <v>53</v>
      </c>
      <c r="D107" s="14">
        <v>867.75</v>
      </c>
    </row>
    <row r="108" spans="1:4" ht="15" customHeight="1" x14ac:dyDescent="0.3">
      <c r="A108" s="13">
        <v>2019</v>
      </c>
      <c r="B108" s="13" t="s">
        <v>62</v>
      </c>
      <c r="C108" s="13" t="s">
        <v>56</v>
      </c>
      <c r="D108" s="14">
        <v>861.65</v>
      </c>
    </row>
    <row r="109" spans="1:4" ht="15" customHeight="1" x14ac:dyDescent="0.3">
      <c r="A109" s="13">
        <v>2019</v>
      </c>
      <c r="B109" s="13" t="s">
        <v>60</v>
      </c>
      <c r="C109" s="13" t="s">
        <v>61</v>
      </c>
      <c r="D109" s="14">
        <v>856.87</v>
      </c>
    </row>
    <row r="110" spans="1:4" ht="15" customHeight="1" x14ac:dyDescent="0.3">
      <c r="A110" s="13">
        <v>2019</v>
      </c>
      <c r="B110" s="13" t="s">
        <v>75</v>
      </c>
      <c r="C110" s="13" t="s">
        <v>56</v>
      </c>
      <c r="D110" s="14">
        <v>852.9</v>
      </c>
    </row>
    <row r="111" spans="1:4" ht="15" customHeight="1" x14ac:dyDescent="0.3">
      <c r="A111" s="13">
        <v>2019</v>
      </c>
      <c r="B111" s="13" t="s">
        <v>55</v>
      </c>
      <c r="C111" s="13" t="s">
        <v>56</v>
      </c>
      <c r="D111" s="14">
        <v>834.59</v>
      </c>
    </row>
    <row r="112" spans="1:4" ht="15" customHeight="1" x14ac:dyDescent="0.3">
      <c r="A112" s="13">
        <v>2019</v>
      </c>
      <c r="B112" s="13" t="s">
        <v>67</v>
      </c>
      <c r="C112" s="13" t="s">
        <v>53</v>
      </c>
      <c r="D112" s="14">
        <v>827.83</v>
      </c>
    </row>
    <row r="113" spans="1:4" ht="15" customHeight="1" x14ac:dyDescent="0.3">
      <c r="A113" s="13">
        <v>2019</v>
      </c>
      <c r="B113" s="13" t="s">
        <v>73</v>
      </c>
      <c r="C113" s="13" t="s">
        <v>53</v>
      </c>
      <c r="D113" s="14">
        <v>812.48</v>
      </c>
    </row>
    <row r="114" spans="1:4" ht="15" customHeight="1" x14ac:dyDescent="0.3">
      <c r="A114" s="13">
        <v>2019</v>
      </c>
      <c r="B114" s="13" t="s">
        <v>65</v>
      </c>
      <c r="C114" s="13" t="s">
        <v>53</v>
      </c>
      <c r="D114" s="14">
        <v>775.97</v>
      </c>
    </row>
    <row r="115" spans="1:4" ht="15" customHeight="1" x14ac:dyDescent="0.3">
      <c r="A115" s="13">
        <v>2019</v>
      </c>
      <c r="B115" s="13" t="s">
        <v>68</v>
      </c>
      <c r="C115" s="13" t="s">
        <v>69</v>
      </c>
      <c r="D115" s="14">
        <v>767.37</v>
      </c>
    </row>
    <row r="116" spans="1:4" ht="15" customHeight="1" x14ac:dyDescent="0.3">
      <c r="A116" s="13">
        <v>2019</v>
      </c>
      <c r="B116" s="13" t="s">
        <v>80</v>
      </c>
      <c r="C116" s="13" t="s">
        <v>53</v>
      </c>
      <c r="D116" s="14">
        <v>727.05</v>
      </c>
    </row>
    <row r="117" spans="1:4" ht="15" customHeight="1" x14ac:dyDescent="0.3">
      <c r="A117" s="13">
        <v>2019</v>
      </c>
      <c r="B117" s="13" t="s">
        <v>71</v>
      </c>
      <c r="C117" s="13" t="s">
        <v>53</v>
      </c>
      <c r="D117" s="14">
        <v>673.32</v>
      </c>
    </row>
    <row r="118" spans="1:4" ht="15" customHeight="1" x14ac:dyDescent="0.3">
      <c r="A118" s="13">
        <v>2019</v>
      </c>
      <c r="B118" s="13" t="s">
        <v>160</v>
      </c>
      <c r="C118" s="13" t="s">
        <v>49</v>
      </c>
      <c r="D118" s="14">
        <v>528.29999999999995</v>
      </c>
    </row>
    <row r="119" spans="1:4" ht="15" customHeight="1" x14ac:dyDescent="0.3">
      <c r="A119" s="13">
        <v>2019</v>
      </c>
      <c r="B119" s="13" t="s">
        <v>83</v>
      </c>
      <c r="C119" s="13" t="s">
        <v>56</v>
      </c>
      <c r="D119" s="14">
        <v>306.26</v>
      </c>
    </row>
    <row r="120" spans="1:4" ht="15" customHeight="1" x14ac:dyDescent="0.3">
      <c r="A120" s="13">
        <v>2019</v>
      </c>
      <c r="B120" s="13" t="s">
        <v>79</v>
      </c>
      <c r="C120" s="13" t="s">
        <v>49</v>
      </c>
      <c r="D120" s="14">
        <v>248.59</v>
      </c>
    </row>
    <row r="121" spans="1:4" ht="15" customHeight="1" x14ac:dyDescent="0.3">
      <c r="A121" s="13">
        <v>2019</v>
      </c>
      <c r="B121" s="13" t="s">
        <v>161</v>
      </c>
      <c r="C121" s="13" t="s">
        <v>49</v>
      </c>
      <c r="D121" s="14">
        <v>0</v>
      </c>
    </row>
    <row r="122" spans="1:4" ht="15" customHeight="1" x14ac:dyDescent="0.3">
      <c r="A122" s="13">
        <v>2019</v>
      </c>
      <c r="B122" s="13" t="s">
        <v>84</v>
      </c>
      <c r="C122" s="13" t="s">
        <v>69</v>
      </c>
      <c r="D122" s="14">
        <v>0</v>
      </c>
    </row>
    <row r="123" spans="1:4" ht="15" customHeight="1" x14ac:dyDescent="0.3">
      <c r="A123" s="13">
        <v>2019</v>
      </c>
      <c r="B123" s="13" t="s">
        <v>82</v>
      </c>
      <c r="C123" s="13" t="s">
        <v>53</v>
      </c>
      <c r="D123" s="14">
        <v>0</v>
      </c>
    </row>
    <row r="124" spans="1:4" ht="15" customHeight="1" x14ac:dyDescent="0.3">
      <c r="A124" s="13">
        <v>2020</v>
      </c>
      <c r="B124" s="13" t="s">
        <v>57</v>
      </c>
      <c r="C124" s="13" t="s">
        <v>53</v>
      </c>
      <c r="D124" s="14">
        <v>871.69</v>
      </c>
    </row>
    <row r="125" spans="1:4" ht="15" customHeight="1" x14ac:dyDescent="0.3">
      <c r="A125" s="13">
        <v>2020</v>
      </c>
      <c r="B125" s="13" t="s">
        <v>67</v>
      </c>
      <c r="C125" s="13" t="s">
        <v>53</v>
      </c>
      <c r="D125" s="14">
        <v>846.07</v>
      </c>
    </row>
    <row r="126" spans="1:4" ht="15" customHeight="1" x14ac:dyDescent="0.3">
      <c r="A126" s="13">
        <v>2020</v>
      </c>
      <c r="B126" s="13" t="s">
        <v>72</v>
      </c>
      <c r="C126" s="13" t="s">
        <v>53</v>
      </c>
      <c r="D126" s="14">
        <v>836.4</v>
      </c>
    </row>
    <row r="127" spans="1:4" ht="15" customHeight="1" x14ac:dyDescent="0.3">
      <c r="A127" s="13">
        <v>2020</v>
      </c>
      <c r="B127" s="13" t="s">
        <v>73</v>
      </c>
      <c r="C127" s="13" t="s">
        <v>53</v>
      </c>
      <c r="D127" s="14">
        <v>786.92</v>
      </c>
    </row>
    <row r="128" spans="1:4" ht="15" customHeight="1" x14ac:dyDescent="0.3">
      <c r="A128" s="13">
        <v>2020</v>
      </c>
      <c r="B128" s="13" t="s">
        <v>55</v>
      </c>
      <c r="C128" s="13" t="s">
        <v>56</v>
      </c>
      <c r="D128" s="14">
        <v>731.73</v>
      </c>
    </row>
    <row r="129" spans="1:4" ht="15" customHeight="1" x14ac:dyDescent="0.3">
      <c r="A129" s="13">
        <v>2020</v>
      </c>
      <c r="B129" s="13" t="s">
        <v>65</v>
      </c>
      <c r="C129" s="13" t="s">
        <v>53</v>
      </c>
      <c r="D129" s="14">
        <v>693.57</v>
      </c>
    </row>
    <row r="130" spans="1:4" ht="15" customHeight="1" x14ac:dyDescent="0.3">
      <c r="A130" s="13">
        <v>2020</v>
      </c>
      <c r="B130" s="13" t="s">
        <v>160</v>
      </c>
      <c r="C130" s="13" t="s">
        <v>49</v>
      </c>
      <c r="D130" s="14">
        <v>685.05</v>
      </c>
    </row>
    <row r="131" spans="1:4" ht="15" customHeight="1" x14ac:dyDescent="0.3">
      <c r="A131" s="13">
        <v>2020</v>
      </c>
      <c r="B131" s="13" t="s">
        <v>74</v>
      </c>
      <c r="C131" s="13" t="s">
        <v>53</v>
      </c>
      <c r="D131" s="14">
        <v>644.22</v>
      </c>
    </row>
    <row r="132" spans="1:4" ht="15" customHeight="1" x14ac:dyDescent="0.3">
      <c r="A132" s="13">
        <v>2020</v>
      </c>
      <c r="B132" s="13" t="s">
        <v>70</v>
      </c>
      <c r="C132" s="13" t="s">
        <v>53</v>
      </c>
      <c r="D132" s="14">
        <v>467.75</v>
      </c>
    </row>
    <row r="133" spans="1:4" ht="15" customHeight="1" x14ac:dyDescent="0.3">
      <c r="A133" s="13">
        <v>2020</v>
      </c>
      <c r="B133" s="13" t="s">
        <v>161</v>
      </c>
      <c r="C133" s="13" t="s">
        <v>49</v>
      </c>
      <c r="D133" s="14">
        <v>443.83</v>
      </c>
    </row>
    <row r="134" spans="1:4" ht="15" customHeight="1" x14ac:dyDescent="0.3">
      <c r="A134" s="13">
        <v>2020</v>
      </c>
      <c r="B134" s="13" t="s">
        <v>83</v>
      </c>
      <c r="C134" s="13" t="s">
        <v>56</v>
      </c>
      <c r="D134" s="14">
        <v>403.24</v>
      </c>
    </row>
    <row r="135" spans="1:4" ht="15" customHeight="1" x14ac:dyDescent="0.3">
      <c r="A135" s="13">
        <v>2020</v>
      </c>
      <c r="B135" s="13" t="s">
        <v>66</v>
      </c>
      <c r="C135" s="13" t="s">
        <v>53</v>
      </c>
      <c r="D135" s="14">
        <v>307.89</v>
      </c>
    </row>
    <row r="136" spans="1:4" ht="15" customHeight="1" x14ac:dyDescent="0.3">
      <c r="A136" s="13">
        <v>2020</v>
      </c>
      <c r="B136" s="13" t="s">
        <v>162</v>
      </c>
      <c r="C136" s="13" t="s">
        <v>53</v>
      </c>
      <c r="D136" s="14">
        <v>237.09</v>
      </c>
    </row>
    <row r="137" spans="1:4" ht="15" customHeight="1" x14ac:dyDescent="0.3">
      <c r="A137" s="13">
        <v>2020</v>
      </c>
      <c r="B137" s="13" t="s">
        <v>89</v>
      </c>
      <c r="C137" s="13" t="s">
        <v>53</v>
      </c>
      <c r="D137" s="14">
        <v>0</v>
      </c>
    </row>
    <row r="138" spans="1:4" ht="15" customHeight="1" x14ac:dyDescent="0.3">
      <c r="A138" s="13">
        <v>2020</v>
      </c>
      <c r="B138" s="13" t="s">
        <v>90</v>
      </c>
      <c r="C138" s="13" t="s">
        <v>49</v>
      </c>
      <c r="D138" s="14">
        <v>0</v>
      </c>
    </row>
    <row r="139" spans="1:4" ht="15" customHeight="1" x14ac:dyDescent="0.3">
      <c r="A139" s="13">
        <v>2020</v>
      </c>
      <c r="B139" s="13" t="s">
        <v>88</v>
      </c>
      <c r="C139" s="13" t="s">
        <v>49</v>
      </c>
      <c r="D139" s="14">
        <v>0</v>
      </c>
    </row>
    <row r="140" spans="1:4" ht="15" customHeight="1" x14ac:dyDescent="0.3">
      <c r="A140" s="13">
        <v>2020</v>
      </c>
      <c r="B140" s="13" t="s">
        <v>87</v>
      </c>
      <c r="C140" s="13" t="s">
        <v>53</v>
      </c>
      <c r="D140" s="14">
        <v>0</v>
      </c>
    </row>
    <row r="141" spans="1:4" ht="15" customHeight="1" x14ac:dyDescent="0.3">
      <c r="A141" s="13">
        <v>2020</v>
      </c>
      <c r="B141" s="13" t="s">
        <v>85</v>
      </c>
      <c r="C141" s="13" t="s">
        <v>53</v>
      </c>
      <c r="D141" s="14">
        <v>0</v>
      </c>
    </row>
    <row r="142" spans="1:4" ht="15" customHeight="1" x14ac:dyDescent="0.3">
      <c r="A142" s="13">
        <v>2021</v>
      </c>
      <c r="B142" s="13" t="s">
        <v>57</v>
      </c>
      <c r="C142" s="13" t="s">
        <v>53</v>
      </c>
      <c r="D142" s="14">
        <v>969.28</v>
      </c>
    </row>
    <row r="143" spans="1:4" ht="15" customHeight="1" x14ac:dyDescent="0.3">
      <c r="A143" s="13">
        <v>2021</v>
      </c>
      <c r="B143" s="13" t="s">
        <v>67</v>
      </c>
      <c r="C143" s="13" t="s">
        <v>53</v>
      </c>
      <c r="D143" s="14">
        <v>963.72</v>
      </c>
    </row>
    <row r="144" spans="1:4" ht="15" customHeight="1" x14ac:dyDescent="0.3">
      <c r="A144" s="13">
        <v>2021</v>
      </c>
      <c r="B144" s="13" t="s">
        <v>161</v>
      </c>
      <c r="C144" s="13" t="s">
        <v>49</v>
      </c>
      <c r="D144" s="14">
        <v>944.49</v>
      </c>
    </row>
    <row r="145" spans="1:4" ht="15" customHeight="1" x14ac:dyDescent="0.3">
      <c r="A145" s="13">
        <v>2021</v>
      </c>
      <c r="B145" s="13" t="s">
        <v>58</v>
      </c>
      <c r="C145" s="13" t="s">
        <v>59</v>
      </c>
      <c r="D145" s="14">
        <v>944.08</v>
      </c>
    </row>
    <row r="146" spans="1:4" ht="15" customHeight="1" x14ac:dyDescent="0.3">
      <c r="A146" s="13">
        <v>2021</v>
      </c>
      <c r="B146" s="13" t="s">
        <v>75</v>
      </c>
      <c r="C146" s="13" t="s">
        <v>56</v>
      </c>
      <c r="D146" s="14">
        <v>911.33</v>
      </c>
    </row>
    <row r="147" spans="1:4" ht="15" customHeight="1" x14ac:dyDescent="0.3">
      <c r="A147" s="13">
        <v>2021</v>
      </c>
      <c r="B147" s="13" t="s">
        <v>83</v>
      </c>
      <c r="C147" s="13" t="s">
        <v>56</v>
      </c>
      <c r="D147" s="14">
        <v>882.13</v>
      </c>
    </row>
    <row r="148" spans="1:4" ht="15" customHeight="1" x14ac:dyDescent="0.3">
      <c r="A148" s="13">
        <v>2021</v>
      </c>
      <c r="B148" s="13" t="s">
        <v>55</v>
      </c>
      <c r="C148" s="13" t="s">
        <v>56</v>
      </c>
      <c r="D148" s="14">
        <v>871.12</v>
      </c>
    </row>
    <row r="149" spans="1:4" ht="15" customHeight="1" x14ac:dyDescent="0.3">
      <c r="A149" s="13">
        <v>2021</v>
      </c>
      <c r="B149" s="13" t="s">
        <v>73</v>
      </c>
      <c r="C149" s="13" t="s">
        <v>53</v>
      </c>
      <c r="D149" s="14">
        <v>833.4</v>
      </c>
    </row>
    <row r="150" spans="1:4" ht="15" customHeight="1" x14ac:dyDescent="0.3">
      <c r="A150" s="13">
        <v>2021</v>
      </c>
      <c r="B150" s="13" t="s">
        <v>80</v>
      </c>
      <c r="C150" s="13" t="s">
        <v>53</v>
      </c>
      <c r="D150" s="14">
        <v>804.75</v>
      </c>
    </row>
    <row r="151" spans="1:4" ht="15" customHeight="1" x14ac:dyDescent="0.3">
      <c r="A151" s="13">
        <v>2021</v>
      </c>
      <c r="B151" s="13" t="s">
        <v>160</v>
      </c>
      <c r="C151" s="13" t="s">
        <v>49</v>
      </c>
      <c r="D151" s="14">
        <v>802.2</v>
      </c>
    </row>
    <row r="152" spans="1:4" ht="15" customHeight="1" x14ac:dyDescent="0.3">
      <c r="A152" s="13">
        <v>2021</v>
      </c>
      <c r="B152" s="13" t="s">
        <v>60</v>
      </c>
      <c r="C152" s="13" t="s">
        <v>61</v>
      </c>
      <c r="D152" s="14">
        <v>794.14</v>
      </c>
    </row>
    <row r="153" spans="1:4" ht="15" customHeight="1" x14ac:dyDescent="0.3">
      <c r="A153" s="13">
        <v>2021</v>
      </c>
      <c r="B153" s="13" t="s">
        <v>162</v>
      </c>
      <c r="C153" s="13" t="s">
        <v>53</v>
      </c>
      <c r="D153" s="14">
        <v>785.48</v>
      </c>
    </row>
    <row r="154" spans="1:4" ht="15" customHeight="1" x14ac:dyDescent="0.3">
      <c r="A154" s="13">
        <v>2021</v>
      </c>
      <c r="B154" s="13" t="s">
        <v>68</v>
      </c>
      <c r="C154" s="13" t="s">
        <v>69</v>
      </c>
      <c r="D154" s="14">
        <v>765.28</v>
      </c>
    </row>
    <row r="155" spans="1:4" ht="15" customHeight="1" x14ac:dyDescent="0.3">
      <c r="A155" s="13">
        <v>2021</v>
      </c>
      <c r="B155" s="13" t="s">
        <v>74</v>
      </c>
      <c r="C155" s="13" t="s">
        <v>53</v>
      </c>
      <c r="D155" s="14">
        <v>695.76</v>
      </c>
    </row>
    <row r="156" spans="1:4" ht="15" customHeight="1" x14ac:dyDescent="0.3">
      <c r="A156" s="13">
        <v>2021</v>
      </c>
      <c r="B156" s="13" t="s">
        <v>63</v>
      </c>
      <c r="C156" s="13" t="s">
        <v>53</v>
      </c>
      <c r="D156" s="14">
        <v>643.36</v>
      </c>
    </row>
    <row r="157" spans="1:4" ht="15" customHeight="1" x14ac:dyDescent="0.3">
      <c r="A157" s="13">
        <v>2021</v>
      </c>
      <c r="B157" s="13" t="s">
        <v>70</v>
      </c>
      <c r="C157" s="13" t="s">
        <v>53</v>
      </c>
      <c r="D157" s="14">
        <v>517.25</v>
      </c>
    </row>
    <row r="158" spans="1:4" ht="15" customHeight="1" x14ac:dyDescent="0.3">
      <c r="A158" s="13">
        <v>2021</v>
      </c>
      <c r="B158" s="13" t="s">
        <v>89</v>
      </c>
      <c r="C158" s="13" t="s">
        <v>53</v>
      </c>
      <c r="D158" s="14">
        <v>318.20999999999998</v>
      </c>
    </row>
    <row r="159" spans="1:4" ht="15" customHeight="1" x14ac:dyDescent="0.3">
      <c r="A159" s="13">
        <v>2021</v>
      </c>
      <c r="B159" s="13" t="s">
        <v>84</v>
      </c>
      <c r="C159" s="13" t="s">
        <v>69</v>
      </c>
      <c r="D159" s="14">
        <v>141.25</v>
      </c>
    </row>
    <row r="160" spans="1:4" ht="15" customHeight="1" x14ac:dyDescent="0.3">
      <c r="A160" s="13">
        <v>2021</v>
      </c>
      <c r="B160" s="13" t="s">
        <v>91</v>
      </c>
      <c r="C160" s="13" t="s">
        <v>92</v>
      </c>
      <c r="D160" s="14">
        <v>0</v>
      </c>
    </row>
    <row r="161" spans="1:4" ht="15" customHeight="1" x14ac:dyDescent="0.3">
      <c r="A161" s="13">
        <v>2021</v>
      </c>
      <c r="B161" s="13" t="s">
        <v>93</v>
      </c>
      <c r="C161" s="13" t="s">
        <v>49</v>
      </c>
      <c r="D161" s="14">
        <v>0</v>
      </c>
    </row>
    <row r="162" spans="1:4" ht="15" customHeight="1" x14ac:dyDescent="0.3">
      <c r="A162" s="13">
        <v>2022</v>
      </c>
      <c r="B162" s="13" t="s">
        <v>62</v>
      </c>
      <c r="C162" s="13" t="s">
        <v>56</v>
      </c>
      <c r="D162" s="14">
        <v>999.05</v>
      </c>
    </row>
    <row r="163" spans="1:4" ht="15" customHeight="1" x14ac:dyDescent="0.3">
      <c r="A163" s="13">
        <v>2022</v>
      </c>
      <c r="B163" s="13" t="s">
        <v>57</v>
      </c>
      <c r="C163" s="13" t="s">
        <v>53</v>
      </c>
      <c r="D163" s="14">
        <v>941.66</v>
      </c>
    </row>
    <row r="164" spans="1:4" ht="15" customHeight="1" x14ac:dyDescent="0.3">
      <c r="A164" s="13">
        <v>2022</v>
      </c>
      <c r="B164" s="13" t="s">
        <v>161</v>
      </c>
      <c r="C164" s="13" t="s">
        <v>49</v>
      </c>
      <c r="D164" s="14">
        <v>939.68</v>
      </c>
    </row>
    <row r="165" spans="1:4" ht="15" customHeight="1" x14ac:dyDescent="0.3">
      <c r="A165" s="13">
        <v>2022</v>
      </c>
      <c r="B165" s="13" t="s">
        <v>58</v>
      </c>
      <c r="C165" s="13" t="s">
        <v>59</v>
      </c>
      <c r="D165" s="14">
        <v>932.71</v>
      </c>
    </row>
    <row r="166" spans="1:4" ht="15" customHeight="1" x14ac:dyDescent="0.3">
      <c r="A166" s="13">
        <v>2022</v>
      </c>
      <c r="B166" s="13" t="s">
        <v>86</v>
      </c>
      <c r="C166" s="13" t="s">
        <v>49</v>
      </c>
      <c r="D166" s="14">
        <v>928.85</v>
      </c>
    </row>
    <row r="167" spans="1:4" ht="15" customHeight="1" x14ac:dyDescent="0.3">
      <c r="A167" s="13">
        <v>2022</v>
      </c>
      <c r="B167" s="13" t="s">
        <v>64</v>
      </c>
      <c r="C167" s="13" t="s">
        <v>49</v>
      </c>
      <c r="D167" s="14">
        <v>917.33</v>
      </c>
    </row>
    <row r="168" spans="1:4" ht="15" customHeight="1" x14ac:dyDescent="0.3">
      <c r="A168" s="13">
        <v>2022</v>
      </c>
      <c r="B168" s="13" t="s">
        <v>75</v>
      </c>
      <c r="C168" s="13" t="s">
        <v>56</v>
      </c>
      <c r="D168" s="14">
        <v>911.81</v>
      </c>
    </row>
    <row r="169" spans="1:4" ht="15" customHeight="1" x14ac:dyDescent="0.3">
      <c r="A169" s="13">
        <v>2022</v>
      </c>
      <c r="B169" s="13" t="s">
        <v>83</v>
      </c>
      <c r="C169" s="13" t="s">
        <v>56</v>
      </c>
      <c r="D169" s="14">
        <v>893.52</v>
      </c>
    </row>
    <row r="170" spans="1:4" ht="15" customHeight="1" x14ac:dyDescent="0.3">
      <c r="A170" s="13">
        <v>2022</v>
      </c>
      <c r="B170" s="13" t="s">
        <v>67</v>
      </c>
      <c r="C170" s="13" t="s">
        <v>53</v>
      </c>
      <c r="D170" s="14">
        <v>855.96</v>
      </c>
    </row>
    <row r="171" spans="1:4" ht="15" customHeight="1" x14ac:dyDescent="0.3">
      <c r="A171" s="13">
        <v>2022</v>
      </c>
      <c r="B171" s="13" t="s">
        <v>48</v>
      </c>
      <c r="C171" s="13" t="s">
        <v>49</v>
      </c>
      <c r="D171" s="14">
        <v>853.02</v>
      </c>
    </row>
    <row r="172" spans="1:4" ht="15" customHeight="1" x14ac:dyDescent="0.3">
      <c r="A172" s="13">
        <v>2022</v>
      </c>
      <c r="B172" s="13" t="s">
        <v>72</v>
      </c>
      <c r="C172" s="13" t="s">
        <v>53</v>
      </c>
      <c r="D172" s="14">
        <v>851.37</v>
      </c>
    </row>
    <row r="173" spans="1:4" ht="15" customHeight="1" x14ac:dyDescent="0.3">
      <c r="A173" s="13">
        <v>2022</v>
      </c>
      <c r="B173" s="13" t="s">
        <v>73</v>
      </c>
      <c r="C173" s="13" t="s">
        <v>53</v>
      </c>
      <c r="D173" s="14">
        <v>832.94</v>
      </c>
    </row>
    <row r="174" spans="1:4" ht="15" customHeight="1" x14ac:dyDescent="0.3">
      <c r="A174" s="13">
        <v>2022</v>
      </c>
      <c r="B174" s="13" t="s">
        <v>80</v>
      </c>
      <c r="C174" s="13" t="s">
        <v>53</v>
      </c>
      <c r="D174" s="14">
        <v>805.01</v>
      </c>
    </row>
    <row r="175" spans="1:4" ht="15" customHeight="1" x14ac:dyDescent="0.3">
      <c r="A175" s="13">
        <v>2022</v>
      </c>
      <c r="B175" s="13" t="s">
        <v>68</v>
      </c>
      <c r="C175" s="13" t="s">
        <v>69</v>
      </c>
      <c r="D175" s="14">
        <v>781.2</v>
      </c>
    </row>
    <row r="176" spans="1:4" ht="15" customHeight="1" x14ac:dyDescent="0.3">
      <c r="A176" s="13">
        <v>2022</v>
      </c>
      <c r="B176" s="13" t="s">
        <v>162</v>
      </c>
      <c r="C176" s="13" t="s">
        <v>53</v>
      </c>
      <c r="D176" s="14">
        <v>755.94</v>
      </c>
    </row>
    <row r="177" spans="1:4" ht="15" customHeight="1" x14ac:dyDescent="0.3">
      <c r="A177" s="13">
        <v>2022</v>
      </c>
      <c r="B177" s="13" t="s">
        <v>55</v>
      </c>
      <c r="C177" s="13" t="s">
        <v>56</v>
      </c>
      <c r="D177" s="14">
        <v>738.46</v>
      </c>
    </row>
    <row r="178" spans="1:4" ht="15" customHeight="1" x14ac:dyDescent="0.3">
      <c r="A178" s="13">
        <v>2022</v>
      </c>
      <c r="B178" s="13" t="s">
        <v>160</v>
      </c>
      <c r="C178" s="13" t="s">
        <v>49</v>
      </c>
      <c r="D178" s="14">
        <v>735.43</v>
      </c>
    </row>
    <row r="179" spans="1:4" ht="15" customHeight="1" x14ac:dyDescent="0.3">
      <c r="A179" s="13">
        <v>2022</v>
      </c>
      <c r="B179" s="13" t="s">
        <v>60</v>
      </c>
      <c r="C179" s="13" t="s">
        <v>61</v>
      </c>
      <c r="D179" s="14">
        <v>733.92</v>
      </c>
    </row>
    <row r="180" spans="1:4" ht="15" customHeight="1" x14ac:dyDescent="0.3">
      <c r="A180" s="13">
        <v>2022</v>
      </c>
      <c r="B180" s="13" t="s">
        <v>84</v>
      </c>
      <c r="C180" s="13" t="s">
        <v>69</v>
      </c>
      <c r="D180" s="14">
        <v>497.34</v>
      </c>
    </row>
    <row r="181" spans="1:4" ht="15" customHeight="1" x14ac:dyDescent="0.3">
      <c r="A181" s="13">
        <v>2022</v>
      </c>
      <c r="B181" s="13" t="s">
        <v>91</v>
      </c>
      <c r="C181" s="13" t="s">
        <v>92</v>
      </c>
      <c r="D181" s="14">
        <v>439.91</v>
      </c>
    </row>
    <row r="182" spans="1:4" ht="15" customHeight="1" x14ac:dyDescent="0.3">
      <c r="A182" s="13">
        <v>2022</v>
      </c>
      <c r="B182" s="13" t="s">
        <v>74</v>
      </c>
      <c r="C182" s="13" t="s">
        <v>53</v>
      </c>
      <c r="D182" s="14">
        <v>412.3</v>
      </c>
    </row>
    <row r="183" spans="1:4" ht="15" customHeight="1" x14ac:dyDescent="0.3">
      <c r="A183" s="13">
        <v>2022</v>
      </c>
      <c r="B183" s="13" t="s">
        <v>94</v>
      </c>
      <c r="C183" s="13" t="s">
        <v>53</v>
      </c>
      <c r="D183" s="14">
        <v>0</v>
      </c>
    </row>
    <row r="184" spans="1:4" ht="15" customHeight="1" x14ac:dyDescent="0.3">
      <c r="A184" s="13">
        <v>2023</v>
      </c>
      <c r="B184" s="13" t="s">
        <v>62</v>
      </c>
      <c r="C184" s="13" t="s">
        <v>56</v>
      </c>
      <c r="D184" s="14">
        <v>874.1</v>
      </c>
    </row>
    <row r="185" spans="1:4" ht="15" customHeight="1" x14ac:dyDescent="0.3">
      <c r="A185" s="13">
        <v>2023</v>
      </c>
      <c r="B185" s="13" t="s">
        <v>64</v>
      </c>
      <c r="C185" s="13" t="s">
        <v>49</v>
      </c>
      <c r="D185" s="14">
        <v>866.58</v>
      </c>
    </row>
    <row r="186" spans="1:4" ht="15" customHeight="1" x14ac:dyDescent="0.3">
      <c r="A186" s="13">
        <v>2023</v>
      </c>
      <c r="B186" s="13" t="s">
        <v>57</v>
      </c>
      <c r="C186" s="13" t="s">
        <v>53</v>
      </c>
      <c r="D186" s="14">
        <v>863.14</v>
      </c>
    </row>
    <row r="187" spans="1:4" ht="15" customHeight="1" x14ac:dyDescent="0.3">
      <c r="A187" s="13">
        <v>2023</v>
      </c>
      <c r="B187" s="13" t="s">
        <v>86</v>
      </c>
      <c r="C187" s="13" t="s">
        <v>49</v>
      </c>
      <c r="D187" s="14">
        <v>837.45</v>
      </c>
    </row>
    <row r="188" spans="1:4" ht="15" customHeight="1" x14ac:dyDescent="0.3">
      <c r="A188" s="13">
        <v>2023</v>
      </c>
      <c r="B188" s="13" t="s">
        <v>161</v>
      </c>
      <c r="C188" s="13" t="s">
        <v>49</v>
      </c>
      <c r="D188" s="14">
        <v>823.62</v>
      </c>
    </row>
    <row r="189" spans="1:4" ht="15" customHeight="1" x14ac:dyDescent="0.3">
      <c r="A189" s="13">
        <v>2023</v>
      </c>
      <c r="B189" s="13" t="s">
        <v>58</v>
      </c>
      <c r="C189" s="13" t="s">
        <v>59</v>
      </c>
      <c r="D189" s="14">
        <v>817.49</v>
      </c>
    </row>
    <row r="190" spans="1:4" ht="15" customHeight="1" x14ac:dyDescent="0.3">
      <c r="A190" s="13">
        <v>2023</v>
      </c>
      <c r="B190" s="13" t="s">
        <v>67</v>
      </c>
      <c r="C190" s="13" t="s">
        <v>53</v>
      </c>
      <c r="D190" s="14">
        <v>811.59</v>
      </c>
    </row>
    <row r="191" spans="1:4" ht="15" customHeight="1" x14ac:dyDescent="0.3">
      <c r="A191" s="13">
        <v>2023</v>
      </c>
      <c r="B191" s="13" t="s">
        <v>75</v>
      </c>
      <c r="C191" s="13" t="s">
        <v>56</v>
      </c>
      <c r="D191" s="14">
        <v>799.24</v>
      </c>
    </row>
    <row r="192" spans="1:4" ht="15" customHeight="1" x14ac:dyDescent="0.3">
      <c r="A192" s="13">
        <v>2023</v>
      </c>
      <c r="B192" s="13" t="s">
        <v>162</v>
      </c>
      <c r="C192" s="13" t="s">
        <v>53</v>
      </c>
      <c r="D192" s="14">
        <v>798.91</v>
      </c>
    </row>
    <row r="193" spans="1:4" ht="15" customHeight="1" x14ac:dyDescent="0.3">
      <c r="A193" s="13">
        <v>2023</v>
      </c>
      <c r="B193" s="13" t="s">
        <v>83</v>
      </c>
      <c r="C193" s="13" t="s">
        <v>56</v>
      </c>
      <c r="D193" s="14">
        <v>786.78</v>
      </c>
    </row>
    <row r="194" spans="1:4" ht="15" customHeight="1" x14ac:dyDescent="0.3">
      <c r="A194" s="13">
        <v>2023</v>
      </c>
      <c r="B194" s="13" t="s">
        <v>48</v>
      </c>
      <c r="C194" s="13" t="s">
        <v>49</v>
      </c>
      <c r="D194" s="14">
        <v>748.49</v>
      </c>
    </row>
    <row r="195" spans="1:4" ht="15" customHeight="1" x14ac:dyDescent="0.3">
      <c r="A195" s="13">
        <v>2023</v>
      </c>
      <c r="B195" s="13" t="s">
        <v>60</v>
      </c>
      <c r="C195" s="13" t="s">
        <v>61</v>
      </c>
      <c r="D195" s="14">
        <v>675.55</v>
      </c>
    </row>
    <row r="196" spans="1:4" ht="15" customHeight="1" x14ac:dyDescent="0.3">
      <c r="A196" s="13">
        <v>2023</v>
      </c>
      <c r="B196" s="13" t="s">
        <v>160</v>
      </c>
      <c r="C196" s="13" t="s">
        <v>49</v>
      </c>
      <c r="D196" s="14">
        <v>672.09</v>
      </c>
    </row>
    <row r="197" spans="1:4" ht="15" customHeight="1" x14ac:dyDescent="0.3">
      <c r="A197" s="13">
        <v>2023</v>
      </c>
      <c r="B197" s="13" t="s">
        <v>55</v>
      </c>
      <c r="C197" s="13" t="s">
        <v>56</v>
      </c>
      <c r="D197" s="14">
        <v>655.02</v>
      </c>
    </row>
    <row r="198" spans="1:4" ht="15" customHeight="1" x14ac:dyDescent="0.3">
      <c r="A198" s="13">
        <v>2023</v>
      </c>
      <c r="B198" s="13" t="s">
        <v>72</v>
      </c>
      <c r="C198" s="13" t="s">
        <v>53</v>
      </c>
      <c r="D198" s="14">
        <v>608.34</v>
      </c>
    </row>
    <row r="199" spans="1:4" ht="15" customHeight="1" x14ac:dyDescent="0.3">
      <c r="A199" s="13">
        <v>2023</v>
      </c>
      <c r="B199" s="13" t="s">
        <v>74</v>
      </c>
      <c r="C199" s="13" t="s">
        <v>53</v>
      </c>
      <c r="D199" s="14">
        <v>477.04</v>
      </c>
    </row>
    <row r="200" spans="1:4" ht="15" customHeight="1" x14ac:dyDescent="0.3">
      <c r="A200" s="13">
        <v>2023</v>
      </c>
      <c r="B200" s="13" t="s">
        <v>90</v>
      </c>
      <c r="C200" s="13" t="s">
        <v>49</v>
      </c>
      <c r="D200" s="14">
        <v>196.93</v>
      </c>
    </row>
    <row r="201" spans="1:4" ht="15" customHeight="1" x14ac:dyDescent="0.3">
      <c r="A201" s="13">
        <v>2023</v>
      </c>
      <c r="B201" s="13" t="s">
        <v>103</v>
      </c>
      <c r="C201" s="13" t="s">
        <v>49</v>
      </c>
      <c r="D201" s="14">
        <v>0</v>
      </c>
    </row>
    <row r="202" spans="1:4" ht="15" customHeight="1" x14ac:dyDescent="0.3">
      <c r="A202" s="13">
        <v>2023</v>
      </c>
      <c r="B202" s="13" t="s">
        <v>79</v>
      </c>
      <c r="C202" s="13" t="s">
        <v>49</v>
      </c>
      <c r="D202" s="14">
        <v>0</v>
      </c>
    </row>
    <row r="203" spans="1:4" ht="15" customHeight="1" x14ac:dyDescent="0.3">
      <c r="A203" s="13">
        <v>2023</v>
      </c>
      <c r="B203" s="13" t="s">
        <v>102</v>
      </c>
      <c r="C203" s="13" t="s">
        <v>69</v>
      </c>
      <c r="D203" s="14">
        <v>0</v>
      </c>
    </row>
    <row r="204" spans="1:4" ht="15" customHeight="1" x14ac:dyDescent="0.3">
      <c r="A204" s="13">
        <v>2023</v>
      </c>
      <c r="B204" s="13" t="s">
        <v>95</v>
      </c>
      <c r="C204" s="13" t="s">
        <v>96</v>
      </c>
      <c r="D204" s="14">
        <v>0</v>
      </c>
    </row>
    <row r="205" spans="1:4" ht="15" customHeight="1" x14ac:dyDescent="0.3">
      <c r="A205" s="13">
        <v>2023</v>
      </c>
      <c r="B205" s="13" t="s">
        <v>105</v>
      </c>
      <c r="C205" s="13" t="s">
        <v>106</v>
      </c>
      <c r="D205" s="14">
        <v>0</v>
      </c>
    </row>
    <row r="206" spans="1:4" ht="15" customHeight="1" x14ac:dyDescent="0.3">
      <c r="A206" s="13">
        <v>2023</v>
      </c>
      <c r="B206" s="13" t="s">
        <v>76</v>
      </c>
      <c r="C206" s="13" t="s">
        <v>61</v>
      </c>
      <c r="D206" s="14">
        <v>0</v>
      </c>
    </row>
    <row r="207" spans="1:4" ht="15" customHeight="1" x14ac:dyDescent="0.3">
      <c r="A207" s="13">
        <v>2023</v>
      </c>
      <c r="B207" s="13" t="s">
        <v>101</v>
      </c>
      <c r="C207" s="13" t="s">
        <v>49</v>
      </c>
      <c r="D207" s="14">
        <v>0</v>
      </c>
    </row>
    <row r="208" spans="1:4" ht="15" customHeight="1" x14ac:dyDescent="0.3">
      <c r="A208" s="13">
        <v>2023</v>
      </c>
      <c r="B208" s="13" t="s">
        <v>97</v>
      </c>
      <c r="C208" s="13" t="s">
        <v>98</v>
      </c>
      <c r="D208" s="14">
        <v>0</v>
      </c>
    </row>
    <row r="209" spans="1:4" ht="15" customHeight="1" x14ac:dyDescent="0.3">
      <c r="A209" s="13">
        <v>2024</v>
      </c>
      <c r="B209" s="13" t="s">
        <v>62</v>
      </c>
      <c r="C209" s="13" t="s">
        <v>56</v>
      </c>
      <c r="D209" s="14">
        <v>959.86</v>
      </c>
    </row>
    <row r="210" spans="1:4" ht="15" customHeight="1" x14ac:dyDescent="0.3">
      <c r="A210" s="13">
        <v>2024</v>
      </c>
      <c r="B210" s="13" t="s">
        <v>64</v>
      </c>
      <c r="C210" s="13" t="s">
        <v>49</v>
      </c>
      <c r="D210" s="14">
        <v>951.36</v>
      </c>
    </row>
    <row r="211" spans="1:4" ht="15" customHeight="1" x14ac:dyDescent="0.3">
      <c r="A211" s="13">
        <v>2024</v>
      </c>
      <c r="B211" s="13" t="s">
        <v>86</v>
      </c>
      <c r="C211" s="13" t="s">
        <v>49</v>
      </c>
      <c r="D211" s="14">
        <v>921.35</v>
      </c>
    </row>
    <row r="212" spans="1:4" ht="15" customHeight="1" x14ac:dyDescent="0.3">
      <c r="A212" s="13">
        <v>2024</v>
      </c>
      <c r="B212" s="13" t="s">
        <v>58</v>
      </c>
      <c r="C212" s="13" t="s">
        <v>59</v>
      </c>
      <c r="D212" s="14">
        <v>918.44</v>
      </c>
    </row>
    <row r="213" spans="1:4" ht="15" customHeight="1" x14ac:dyDescent="0.3">
      <c r="A213" s="13">
        <v>2024</v>
      </c>
      <c r="B213" s="13" t="s">
        <v>161</v>
      </c>
      <c r="C213" s="13" t="s">
        <v>49</v>
      </c>
      <c r="D213" s="14">
        <v>908.68</v>
      </c>
    </row>
    <row r="214" spans="1:4" ht="15" customHeight="1" x14ac:dyDescent="0.3">
      <c r="A214" s="13">
        <v>2024</v>
      </c>
      <c r="B214" s="13" t="s">
        <v>75</v>
      </c>
      <c r="C214" s="13" t="s">
        <v>56</v>
      </c>
      <c r="D214" s="14">
        <v>906.53</v>
      </c>
    </row>
    <row r="215" spans="1:4" ht="15" customHeight="1" x14ac:dyDescent="0.3">
      <c r="A215" s="13">
        <v>2024</v>
      </c>
      <c r="B215" s="13" t="s">
        <v>162</v>
      </c>
      <c r="C215" s="13" t="s">
        <v>53</v>
      </c>
      <c r="D215" s="14">
        <v>906.48</v>
      </c>
    </row>
    <row r="216" spans="1:4" ht="15" customHeight="1" x14ac:dyDescent="0.3">
      <c r="A216" s="13">
        <v>2024</v>
      </c>
      <c r="B216" s="13" t="s">
        <v>57</v>
      </c>
      <c r="C216" s="13" t="s">
        <v>53</v>
      </c>
      <c r="D216" s="14">
        <v>894.81</v>
      </c>
    </row>
    <row r="217" spans="1:4" ht="15" customHeight="1" x14ac:dyDescent="0.3">
      <c r="A217" s="13">
        <v>2024</v>
      </c>
      <c r="B217" s="13" t="s">
        <v>48</v>
      </c>
      <c r="C217" s="13" t="s">
        <v>49</v>
      </c>
      <c r="D217" s="14">
        <v>866.62</v>
      </c>
    </row>
    <row r="218" spans="1:4" ht="15" customHeight="1" x14ac:dyDescent="0.3">
      <c r="A218" s="13">
        <v>2024</v>
      </c>
      <c r="B218" s="13" t="s">
        <v>83</v>
      </c>
      <c r="C218" s="13" t="s">
        <v>56</v>
      </c>
      <c r="D218" s="14">
        <v>849.77</v>
      </c>
    </row>
    <row r="219" spans="1:4" ht="15" customHeight="1" x14ac:dyDescent="0.3">
      <c r="A219" s="13">
        <v>2024</v>
      </c>
      <c r="B219" s="13" t="s">
        <v>160</v>
      </c>
      <c r="C219" s="13" t="s">
        <v>49</v>
      </c>
      <c r="D219" s="14">
        <v>742.42</v>
      </c>
    </row>
    <row r="220" spans="1:4" ht="15" customHeight="1" x14ac:dyDescent="0.3">
      <c r="A220" s="13">
        <v>2024</v>
      </c>
      <c r="B220" s="13" t="s">
        <v>55</v>
      </c>
      <c r="C220" s="13" t="s">
        <v>56</v>
      </c>
      <c r="D220" s="14">
        <v>711.19</v>
      </c>
    </row>
    <row r="221" spans="1:4" ht="15" customHeight="1" x14ac:dyDescent="0.3">
      <c r="A221" s="13">
        <v>2024</v>
      </c>
      <c r="B221" s="13" t="s">
        <v>72</v>
      </c>
      <c r="C221" s="13" t="s">
        <v>53</v>
      </c>
      <c r="D221" s="14">
        <v>578.03</v>
      </c>
    </row>
    <row r="222" spans="1:4" ht="15" customHeight="1" x14ac:dyDescent="0.3">
      <c r="A222" s="13">
        <v>2024</v>
      </c>
      <c r="B222" s="13" t="s">
        <v>103</v>
      </c>
      <c r="C222" s="13" t="s">
        <v>49</v>
      </c>
      <c r="D222" s="14">
        <v>539.9</v>
      </c>
    </row>
    <row r="223" spans="1:4" ht="15" customHeight="1" x14ac:dyDescent="0.3">
      <c r="A223" s="13">
        <v>2024</v>
      </c>
      <c r="B223" s="13" t="s">
        <v>74</v>
      </c>
      <c r="C223" s="13" t="s">
        <v>53</v>
      </c>
      <c r="D223" s="14">
        <v>404.54</v>
      </c>
    </row>
    <row r="224" spans="1:4" ht="15" customHeight="1" x14ac:dyDescent="0.3">
      <c r="A224" s="13">
        <v>2024</v>
      </c>
      <c r="B224" s="13" t="s">
        <v>105</v>
      </c>
      <c r="C224" s="13" t="s">
        <v>106</v>
      </c>
      <c r="D224" s="14">
        <v>174.96</v>
      </c>
    </row>
    <row r="225" spans="1:4" ht="15" customHeight="1" x14ac:dyDescent="0.3">
      <c r="A225" s="13">
        <v>2024</v>
      </c>
      <c r="B225" s="13" t="s">
        <v>113</v>
      </c>
      <c r="C225" s="13" t="s">
        <v>53</v>
      </c>
      <c r="D225" s="14">
        <v>0</v>
      </c>
    </row>
    <row r="226" spans="1:4" ht="15" customHeight="1" x14ac:dyDescent="0.3">
      <c r="A226" s="13">
        <v>2024</v>
      </c>
      <c r="B226" s="13" t="s">
        <v>107</v>
      </c>
      <c r="C226" s="13" t="s">
        <v>53</v>
      </c>
      <c r="D226" s="14">
        <v>0</v>
      </c>
    </row>
    <row r="227" spans="1:4" ht="15" customHeight="1" x14ac:dyDescent="0.3">
      <c r="A227" s="13">
        <v>2024</v>
      </c>
      <c r="B227" s="13" t="s">
        <v>108</v>
      </c>
      <c r="C227" s="13" t="s">
        <v>53</v>
      </c>
      <c r="D227" s="14">
        <v>0</v>
      </c>
    </row>
    <row r="228" spans="1:4" ht="15" customHeight="1" x14ac:dyDescent="0.3">
      <c r="A228" s="13">
        <v>2025</v>
      </c>
      <c r="B228" s="13" t="s">
        <v>162</v>
      </c>
      <c r="C228" s="13" t="s">
        <v>53</v>
      </c>
      <c r="D228" s="14">
        <v>1004.82</v>
      </c>
    </row>
    <row r="229" spans="1:4" ht="15" customHeight="1" x14ac:dyDescent="0.3">
      <c r="A229" s="13">
        <v>2025</v>
      </c>
      <c r="B229" s="13" t="s">
        <v>86</v>
      </c>
      <c r="C229" s="13" t="s">
        <v>49</v>
      </c>
      <c r="D229" s="14">
        <v>992.88</v>
      </c>
    </row>
    <row r="230" spans="1:4" ht="15" customHeight="1" x14ac:dyDescent="0.3">
      <c r="A230" s="13">
        <v>2025</v>
      </c>
      <c r="B230" s="13" t="s">
        <v>62</v>
      </c>
      <c r="C230" s="13" t="s">
        <v>56</v>
      </c>
      <c r="D230" s="14">
        <v>985.68</v>
      </c>
    </row>
    <row r="231" spans="1:4" ht="15" customHeight="1" x14ac:dyDescent="0.3">
      <c r="A231" s="13">
        <v>2025</v>
      </c>
      <c r="B231" s="13" t="s">
        <v>48</v>
      </c>
      <c r="C231" s="13" t="s">
        <v>49</v>
      </c>
      <c r="D231" s="14">
        <v>933.57</v>
      </c>
    </row>
    <row r="232" spans="1:4" ht="15" customHeight="1" x14ac:dyDescent="0.3">
      <c r="A232" s="13">
        <v>2025</v>
      </c>
      <c r="B232" s="13" t="s">
        <v>64</v>
      </c>
      <c r="C232" s="13" t="s">
        <v>49</v>
      </c>
      <c r="D232" s="14">
        <v>866.13</v>
      </c>
    </row>
    <row r="233" spans="1:4" ht="15" customHeight="1" x14ac:dyDescent="0.3">
      <c r="A233" s="13">
        <v>2025</v>
      </c>
      <c r="B233" s="13" t="s">
        <v>75</v>
      </c>
      <c r="C233" s="13" t="s">
        <v>56</v>
      </c>
      <c r="D233" s="14">
        <v>823.86</v>
      </c>
    </row>
    <row r="234" spans="1:4" ht="15" customHeight="1" x14ac:dyDescent="0.3">
      <c r="A234" s="13">
        <v>2025</v>
      </c>
      <c r="B234" s="13" t="s">
        <v>83</v>
      </c>
      <c r="C234" s="13" t="s">
        <v>56</v>
      </c>
      <c r="D234" s="14">
        <v>753.73</v>
      </c>
    </row>
    <row r="235" spans="1:4" ht="15" customHeight="1" x14ac:dyDescent="0.3">
      <c r="A235" s="13">
        <v>2025</v>
      </c>
      <c r="B235" s="13" t="s">
        <v>160</v>
      </c>
      <c r="C235" s="13" t="s">
        <v>49</v>
      </c>
      <c r="D235" s="14">
        <v>737.12</v>
      </c>
    </row>
    <row r="236" spans="1:4" ht="15" customHeight="1" x14ac:dyDescent="0.3">
      <c r="A236" s="13">
        <v>2025</v>
      </c>
      <c r="B236" s="13" t="s">
        <v>55</v>
      </c>
      <c r="C236" s="13" t="s">
        <v>56</v>
      </c>
      <c r="D236" s="14">
        <v>716.33</v>
      </c>
    </row>
    <row r="237" spans="1:4" ht="15" customHeight="1" x14ac:dyDescent="0.3">
      <c r="A237" s="13">
        <v>2025</v>
      </c>
      <c r="B237" s="13" t="s">
        <v>72</v>
      </c>
      <c r="C237" s="13" t="s">
        <v>53</v>
      </c>
      <c r="D237" s="14">
        <v>687.26</v>
      </c>
    </row>
    <row r="238" spans="1:4" ht="15" customHeight="1" x14ac:dyDescent="0.3">
      <c r="A238" s="13">
        <v>2025</v>
      </c>
      <c r="B238" s="13" t="s">
        <v>113</v>
      </c>
      <c r="C238" s="13" t="s">
        <v>53</v>
      </c>
      <c r="D238" s="14">
        <v>450.38</v>
      </c>
    </row>
    <row r="239" spans="1:4" ht="15" customHeight="1" x14ac:dyDescent="0.3">
      <c r="A239" s="13">
        <v>2025</v>
      </c>
      <c r="B239" s="13" t="s">
        <v>107</v>
      </c>
      <c r="C239" s="13" t="s">
        <v>53</v>
      </c>
      <c r="D239" s="14">
        <v>210.22</v>
      </c>
    </row>
    <row r="240" spans="1:4" ht="15" customHeight="1" x14ac:dyDescent="0.3">
      <c r="A240" s="13">
        <v>2025</v>
      </c>
      <c r="B240" s="13" t="s">
        <v>79</v>
      </c>
      <c r="C240" s="13" t="s">
        <v>49</v>
      </c>
      <c r="D240" s="14">
        <v>108.04</v>
      </c>
    </row>
    <row r="241" spans="1:4" ht="15" customHeight="1" x14ac:dyDescent="0.3">
      <c r="A241" s="13">
        <v>2025</v>
      </c>
      <c r="B241" s="13" t="s">
        <v>89</v>
      </c>
      <c r="C241" s="13" t="s">
        <v>53</v>
      </c>
      <c r="D241" s="14">
        <v>0</v>
      </c>
    </row>
  </sheetData>
  <mergeCells count="2">
    <mergeCell ref="A1:D1"/>
    <mergeCell ref="A2:D2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5"/>
  <sheetViews>
    <sheetView zoomScaleNormal="100" workbookViewId="0"/>
  </sheetViews>
  <sheetFormatPr defaultColWidth="8.6640625" defaultRowHeight="14.4" x14ac:dyDescent="0.3"/>
  <cols>
    <col min="1" max="1" width="40" customWidth="1"/>
  </cols>
  <sheetData>
    <row r="1" spans="1:1" ht="14.25" customHeight="1" x14ac:dyDescent="0.3">
      <c r="A1" s="32" t="s">
        <v>50</v>
      </c>
    </row>
    <row r="2" spans="1:1" ht="14.25" customHeight="1" x14ac:dyDescent="0.3">
      <c r="A2" s="32" t="s">
        <v>110</v>
      </c>
    </row>
    <row r="3" spans="1:1" ht="14.25" customHeight="1" x14ac:dyDescent="0.3">
      <c r="A3" s="32" t="s">
        <v>163</v>
      </c>
    </row>
    <row r="4" spans="1:1" ht="14.25" customHeight="1" x14ac:dyDescent="0.3">
      <c r="A4" s="32" t="s">
        <v>99</v>
      </c>
    </row>
    <row r="5" spans="1:1" ht="14.25" customHeight="1" x14ac:dyDescent="0.3">
      <c r="A5" s="32" t="s">
        <v>164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Instrukcijos</vt:lpstr>
      <vt:lpstr>Reitingai</vt:lpstr>
      <vt:lpstr>Rezultatai</vt:lpstr>
      <vt:lpstr>Parametrai</vt:lpstr>
      <vt:lpstr>Pilotai</vt:lpstr>
      <vt:lpstr>Pokytis</vt:lpstr>
      <vt:lpstr>Istorija (archyvas)</vt:lpstr>
      <vt:lpstr>Sąrašai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Joris Dell</cp:lastModifiedBy>
  <cp:revision>0</cp:revision>
  <dcterms:created xsi:type="dcterms:W3CDTF">2026-09-18T15:02:17Z</dcterms:created>
  <dcterms:modified xsi:type="dcterms:W3CDTF">2026-10-25T18:29:11Z</dcterms:modified>
  <dc:language>en-US</dc:language>
</cp:coreProperties>
</file>